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12300" yWindow="0" windowWidth="25040" windowHeight="17820" tabRatio="500"/>
  </bookViews>
  <sheets>
    <sheet name="Single Family Summary" sheetId="14" r:id="rId1"/>
    <sheet name="MultiRes Summary" sheetId="10" r:id="rId2"/>
    <sheet name="MultiReslNoNull - short fields" sheetId="11" r:id="rId3"/>
    <sheet name="MultiReslNoNull - all fields" sheetId="12" r:id="rId4"/>
    <sheet name="Sheet1 (2)" sheetId="13" r:id="rId5"/>
    <sheet name="Industrial Summary" sheetId="9" r:id="rId6"/>
    <sheet name="Hazardous Parcels" sheetId="8" r:id="rId7"/>
    <sheet name="People Summary Tables" sheetId="7" r:id="rId8"/>
    <sheet name="Commercial Summary" sheetId="6" r:id="rId9"/>
    <sheet name="Brownfield Summary" sheetId="5" r:id="rId10"/>
    <sheet name="Bay Trail Summary EF" sheetId="4" r:id="rId11"/>
    <sheet name="Rail Summary EF" sheetId="3" r:id="rId12"/>
    <sheet name="Pipelines Summary EF" sheetId="2" r:id="rId13"/>
    <sheet name="Sheet1" sheetId="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5">#REF!</definedName>
    <definedName name="_xlnm.Database" localSheetId="1">#REF!</definedName>
    <definedName name="_xlnm.Database" localSheetId="3">'MultiReslNoNull - all fields'!$A$1:$DH$198</definedName>
    <definedName name="_xlnm.Database" localSheetId="12">#REF!</definedName>
    <definedName name="_xlnm.Database" localSheetId="11">#REF!</definedName>
    <definedName name="_xlnm.Database" localSheetId="0">#REF!</definedName>
    <definedName name="_xlnm.Database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6" i="14" l="1"/>
  <c r="G66" i="14"/>
  <c r="I66" i="14"/>
  <c r="K66" i="14"/>
  <c r="M66" i="14"/>
  <c r="O66" i="14"/>
  <c r="Q66" i="14"/>
  <c r="Q57" i="14"/>
  <c r="G67" i="14"/>
  <c r="I67" i="14"/>
  <c r="K67" i="14"/>
  <c r="M67" i="14"/>
  <c r="O67" i="14"/>
  <c r="Q67" i="14"/>
  <c r="Q58" i="14"/>
  <c r="G68" i="14"/>
  <c r="I68" i="14"/>
  <c r="K68" i="14"/>
  <c r="M68" i="14"/>
  <c r="O68" i="14"/>
  <c r="Q68" i="14"/>
  <c r="Q59" i="14"/>
  <c r="G69" i="14"/>
  <c r="I69" i="14"/>
  <c r="K69" i="14"/>
  <c r="M69" i="14"/>
  <c r="O69" i="14"/>
  <c r="Q69" i="14"/>
  <c r="Q70" i="14"/>
  <c r="P56" i="14"/>
  <c r="F66" i="14"/>
  <c r="H66" i="14"/>
  <c r="J66" i="14"/>
  <c r="L66" i="14"/>
  <c r="N66" i="14"/>
  <c r="P66" i="14"/>
  <c r="P57" i="14"/>
  <c r="F67" i="14"/>
  <c r="H67" i="14"/>
  <c r="J67" i="14"/>
  <c r="L67" i="14"/>
  <c r="N67" i="14"/>
  <c r="P67" i="14"/>
  <c r="P58" i="14"/>
  <c r="F68" i="14"/>
  <c r="H68" i="14"/>
  <c r="J68" i="14"/>
  <c r="L68" i="14"/>
  <c r="N68" i="14"/>
  <c r="P68" i="14"/>
  <c r="P59" i="14"/>
  <c r="F69" i="14"/>
  <c r="H69" i="14"/>
  <c r="J69" i="14"/>
  <c r="L69" i="14"/>
  <c r="N69" i="14"/>
  <c r="P69" i="14"/>
  <c r="P70" i="14"/>
  <c r="O70" i="14"/>
  <c r="N70" i="14"/>
  <c r="M70" i="14"/>
  <c r="L70" i="14"/>
  <c r="K70" i="14"/>
  <c r="J70" i="14"/>
  <c r="I70" i="14"/>
  <c r="H70" i="14"/>
  <c r="G70" i="14"/>
  <c r="F7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Q35" i="14"/>
  <c r="O35" i="14"/>
  <c r="M35" i="14"/>
  <c r="K35" i="14"/>
  <c r="I35" i="14"/>
  <c r="G35" i="14"/>
  <c r="E35" i="14"/>
  <c r="G45" i="14"/>
  <c r="I45" i="14"/>
  <c r="K45" i="14"/>
  <c r="M45" i="14"/>
  <c r="O45" i="14"/>
  <c r="Q45" i="14"/>
  <c r="Q36" i="14"/>
  <c r="O36" i="14"/>
  <c r="M36" i="14"/>
  <c r="K36" i="14"/>
  <c r="I36" i="14"/>
  <c r="G36" i="14"/>
  <c r="E36" i="14"/>
  <c r="G46" i="14"/>
  <c r="I46" i="14"/>
  <c r="K46" i="14"/>
  <c r="M46" i="14"/>
  <c r="O46" i="14"/>
  <c r="Q46" i="14"/>
  <c r="Q37" i="14"/>
  <c r="O37" i="14"/>
  <c r="M37" i="14"/>
  <c r="K37" i="14"/>
  <c r="I37" i="14"/>
  <c r="G37" i="14"/>
  <c r="E37" i="14"/>
  <c r="G47" i="14"/>
  <c r="I47" i="14"/>
  <c r="K47" i="14"/>
  <c r="M47" i="14"/>
  <c r="O47" i="14"/>
  <c r="Q47" i="14"/>
  <c r="Q38" i="14"/>
  <c r="O38" i="14"/>
  <c r="M38" i="14"/>
  <c r="K38" i="14"/>
  <c r="I38" i="14"/>
  <c r="G38" i="14"/>
  <c r="E38" i="14"/>
  <c r="G48" i="14"/>
  <c r="I48" i="14"/>
  <c r="K48" i="14"/>
  <c r="M48" i="14"/>
  <c r="O48" i="14"/>
  <c r="Q48" i="14"/>
  <c r="Q49" i="14"/>
  <c r="P35" i="14"/>
  <c r="N35" i="14"/>
  <c r="L35" i="14"/>
  <c r="J35" i="14"/>
  <c r="H35" i="14"/>
  <c r="F35" i="14"/>
  <c r="D35" i="14"/>
  <c r="F45" i="14"/>
  <c r="H45" i="14"/>
  <c r="J45" i="14"/>
  <c r="L45" i="14"/>
  <c r="N45" i="14"/>
  <c r="P45" i="14"/>
  <c r="P36" i="14"/>
  <c r="N36" i="14"/>
  <c r="L36" i="14"/>
  <c r="J36" i="14"/>
  <c r="H36" i="14"/>
  <c r="F36" i="14"/>
  <c r="D36" i="14"/>
  <c r="F46" i="14"/>
  <c r="H46" i="14"/>
  <c r="J46" i="14"/>
  <c r="L46" i="14"/>
  <c r="N46" i="14"/>
  <c r="P46" i="14"/>
  <c r="P37" i="14"/>
  <c r="N37" i="14"/>
  <c r="L37" i="14"/>
  <c r="J37" i="14"/>
  <c r="H37" i="14"/>
  <c r="F37" i="14"/>
  <c r="D37" i="14"/>
  <c r="F47" i="14"/>
  <c r="H47" i="14"/>
  <c r="J47" i="14"/>
  <c r="L47" i="14"/>
  <c r="N47" i="14"/>
  <c r="P47" i="14"/>
  <c r="P38" i="14"/>
  <c r="N38" i="14"/>
  <c r="L38" i="14"/>
  <c r="J38" i="14"/>
  <c r="H38" i="14"/>
  <c r="F38" i="14"/>
  <c r="D38" i="14"/>
  <c r="F48" i="14"/>
  <c r="H48" i="14"/>
  <c r="J48" i="14"/>
  <c r="L48" i="14"/>
  <c r="N48" i="14"/>
  <c r="P48" i="14"/>
  <c r="P49" i="14"/>
  <c r="O49" i="14"/>
  <c r="N49" i="14"/>
  <c r="M49" i="14"/>
  <c r="L49" i="14"/>
  <c r="K49" i="14"/>
  <c r="J49" i="14"/>
  <c r="I49" i="14"/>
  <c r="H49" i="14"/>
  <c r="G49" i="14"/>
  <c r="F4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Q14" i="14"/>
  <c r="O14" i="14"/>
  <c r="M14" i="14"/>
  <c r="K14" i="14"/>
  <c r="I14" i="14"/>
  <c r="G14" i="14"/>
  <c r="E14" i="14"/>
  <c r="C14" i="14"/>
  <c r="E24" i="14"/>
  <c r="G24" i="14"/>
  <c r="I24" i="14"/>
  <c r="K24" i="14"/>
  <c r="M24" i="14"/>
  <c r="O24" i="14"/>
  <c r="Q24" i="14"/>
  <c r="Q15" i="14"/>
  <c r="O15" i="14"/>
  <c r="M15" i="14"/>
  <c r="K15" i="14"/>
  <c r="I15" i="14"/>
  <c r="G15" i="14"/>
  <c r="E15" i="14"/>
  <c r="C15" i="14"/>
  <c r="E25" i="14"/>
  <c r="G25" i="14"/>
  <c r="I25" i="14"/>
  <c r="K25" i="14"/>
  <c r="M25" i="14"/>
  <c r="O25" i="14"/>
  <c r="Q25" i="14"/>
  <c r="Q16" i="14"/>
  <c r="O16" i="14"/>
  <c r="M16" i="14"/>
  <c r="K16" i="14"/>
  <c r="I16" i="14"/>
  <c r="G16" i="14"/>
  <c r="E16" i="14"/>
  <c r="C16" i="14"/>
  <c r="E26" i="14"/>
  <c r="G26" i="14"/>
  <c r="I26" i="14"/>
  <c r="K26" i="14"/>
  <c r="M26" i="14"/>
  <c r="O26" i="14"/>
  <c r="Q26" i="14"/>
  <c r="Q17" i="14"/>
  <c r="O17" i="14"/>
  <c r="M17" i="14"/>
  <c r="K17" i="14"/>
  <c r="I17" i="14"/>
  <c r="G17" i="14"/>
  <c r="E17" i="14"/>
  <c r="C17" i="14"/>
  <c r="E27" i="14"/>
  <c r="G27" i="14"/>
  <c r="I27" i="14"/>
  <c r="K27" i="14"/>
  <c r="M27" i="14"/>
  <c r="O27" i="14"/>
  <c r="Q27" i="14"/>
  <c r="Q28" i="14"/>
  <c r="P14" i="14"/>
  <c r="N14" i="14"/>
  <c r="L14" i="14"/>
  <c r="J14" i="14"/>
  <c r="H14" i="14"/>
  <c r="F14" i="14"/>
  <c r="D14" i="14"/>
  <c r="B14" i="14"/>
  <c r="D24" i="14"/>
  <c r="F24" i="14"/>
  <c r="H24" i="14"/>
  <c r="J24" i="14"/>
  <c r="L24" i="14"/>
  <c r="N24" i="14"/>
  <c r="P24" i="14"/>
  <c r="P15" i="14"/>
  <c r="N15" i="14"/>
  <c r="L15" i="14"/>
  <c r="J15" i="14"/>
  <c r="H15" i="14"/>
  <c r="F15" i="14"/>
  <c r="D15" i="14"/>
  <c r="B15" i="14"/>
  <c r="D25" i="14"/>
  <c r="F25" i="14"/>
  <c r="H25" i="14"/>
  <c r="J25" i="14"/>
  <c r="L25" i="14"/>
  <c r="N25" i="14"/>
  <c r="P25" i="14"/>
  <c r="P16" i="14"/>
  <c r="N16" i="14"/>
  <c r="L16" i="14"/>
  <c r="J16" i="14"/>
  <c r="H16" i="14"/>
  <c r="F16" i="14"/>
  <c r="D16" i="14"/>
  <c r="B16" i="14"/>
  <c r="D26" i="14"/>
  <c r="F26" i="14"/>
  <c r="H26" i="14"/>
  <c r="J26" i="14"/>
  <c r="L26" i="14"/>
  <c r="N26" i="14"/>
  <c r="P26" i="14"/>
  <c r="P17" i="14"/>
  <c r="N17" i="14"/>
  <c r="L17" i="14"/>
  <c r="J17" i="14"/>
  <c r="H17" i="14"/>
  <c r="F17" i="14"/>
  <c r="D17" i="14"/>
  <c r="B17" i="14"/>
  <c r="D27" i="14"/>
  <c r="F27" i="14"/>
  <c r="H27" i="14"/>
  <c r="J27" i="14"/>
  <c r="L27" i="14"/>
  <c r="N27" i="14"/>
  <c r="P27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B4" i="14"/>
  <c r="B3" i="14"/>
  <c r="J19" i="13"/>
  <c r="I19" i="13"/>
  <c r="H19" i="13"/>
  <c r="G19" i="13"/>
  <c r="F19" i="13"/>
  <c r="E19" i="13"/>
  <c r="DH200" i="12"/>
  <c r="DI200" i="12"/>
  <c r="AJ2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99" i="11"/>
  <c r="AJ100" i="11"/>
  <c r="AJ101" i="11"/>
  <c r="AJ102" i="11"/>
  <c r="AJ103" i="11"/>
  <c r="AJ104" i="11"/>
  <c r="AJ105" i="11"/>
  <c r="AJ106" i="11"/>
  <c r="AJ107" i="11"/>
  <c r="AJ108" i="11"/>
  <c r="AJ109" i="11"/>
  <c r="AJ110" i="11"/>
  <c r="AJ111" i="11"/>
  <c r="AJ112" i="11"/>
  <c r="AJ113" i="11"/>
  <c r="AJ114" i="11"/>
  <c r="AJ115" i="11"/>
  <c r="AJ116" i="11"/>
  <c r="AJ117" i="11"/>
  <c r="AJ118" i="11"/>
  <c r="AJ119" i="11"/>
  <c r="AJ120" i="11"/>
  <c r="AJ121" i="11"/>
  <c r="AJ122" i="11"/>
  <c r="AJ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143" i="11"/>
  <c r="AJ144" i="11"/>
  <c r="AJ145" i="11"/>
  <c r="AJ146" i="11"/>
  <c r="AJ147" i="11"/>
  <c r="AJ148" i="11"/>
  <c r="AJ149" i="11"/>
  <c r="AJ150" i="11"/>
  <c r="AJ151" i="11"/>
  <c r="AJ152" i="11"/>
  <c r="AJ153" i="11"/>
  <c r="AJ154" i="11"/>
  <c r="AJ155" i="11"/>
  <c r="AJ156" i="11"/>
  <c r="AJ157" i="11"/>
  <c r="AJ158" i="11"/>
  <c r="AJ159" i="11"/>
  <c r="AJ160" i="11"/>
  <c r="AJ161" i="11"/>
  <c r="AJ162" i="11"/>
  <c r="AJ163" i="11"/>
  <c r="AJ164" i="11"/>
  <c r="AJ165" i="11"/>
  <c r="AJ166" i="11"/>
  <c r="AJ167" i="11"/>
  <c r="AJ168" i="11"/>
  <c r="AJ169" i="11"/>
  <c r="AJ170" i="11"/>
  <c r="AJ171" i="11"/>
  <c r="AJ172" i="11"/>
  <c r="AJ173" i="11"/>
  <c r="AJ174" i="11"/>
  <c r="AJ175" i="11"/>
  <c r="AJ176" i="11"/>
  <c r="AJ177" i="11"/>
  <c r="AJ178" i="11"/>
  <c r="AJ179" i="11"/>
  <c r="AJ180" i="11"/>
  <c r="AJ181" i="11"/>
  <c r="AJ182" i="11"/>
  <c r="AJ183" i="11"/>
  <c r="AJ184" i="11"/>
  <c r="AJ185" i="11"/>
  <c r="AJ186" i="11"/>
  <c r="AJ187" i="11"/>
  <c r="AJ188" i="11"/>
  <c r="AJ189" i="11"/>
  <c r="AJ190" i="11"/>
  <c r="AJ191" i="11"/>
  <c r="AJ192" i="11"/>
  <c r="AJ193" i="11"/>
  <c r="AJ194" i="11"/>
  <c r="AJ195" i="11"/>
  <c r="AJ196" i="11"/>
  <c r="AJ197" i="11"/>
  <c r="AJ198" i="11"/>
  <c r="AJ200" i="11"/>
  <c r="W200" i="11"/>
  <c r="AK198" i="11"/>
  <c r="Z198" i="11"/>
  <c r="AK197" i="11"/>
  <c r="Z197" i="11"/>
  <c r="AK196" i="11"/>
  <c r="Z196" i="11"/>
  <c r="AK195" i="11"/>
  <c r="Z195" i="11"/>
  <c r="AK194" i="11"/>
  <c r="Z194" i="11"/>
  <c r="AK193" i="11"/>
  <c r="Z193" i="11"/>
  <c r="AK192" i="11"/>
  <c r="Z192" i="11"/>
  <c r="AK191" i="11"/>
  <c r="Z191" i="11"/>
  <c r="AK190" i="11"/>
  <c r="Z190" i="11"/>
  <c r="AK189" i="11"/>
  <c r="Z189" i="11"/>
  <c r="AK188" i="11"/>
  <c r="Z188" i="11"/>
  <c r="AK187" i="11"/>
  <c r="Z187" i="11"/>
  <c r="AK186" i="11"/>
  <c r="Z186" i="11"/>
  <c r="AK185" i="11"/>
  <c r="Z185" i="11"/>
  <c r="AK184" i="11"/>
  <c r="Z184" i="11"/>
  <c r="AK183" i="11"/>
  <c r="Z183" i="11"/>
  <c r="AK182" i="11"/>
  <c r="Z182" i="11"/>
  <c r="AK181" i="11"/>
  <c r="Z181" i="11"/>
  <c r="AK180" i="11"/>
  <c r="Z180" i="11"/>
  <c r="AK179" i="11"/>
  <c r="Z179" i="11"/>
  <c r="AK178" i="11"/>
  <c r="Z178" i="11"/>
  <c r="AK177" i="11"/>
  <c r="Z177" i="11"/>
  <c r="AK176" i="11"/>
  <c r="Z176" i="11"/>
  <c r="AK175" i="11"/>
  <c r="Z175" i="11"/>
  <c r="AK174" i="11"/>
  <c r="Z174" i="11"/>
  <c r="AK173" i="11"/>
  <c r="Z173" i="11"/>
  <c r="AK172" i="11"/>
  <c r="Z172" i="11"/>
  <c r="AK171" i="11"/>
  <c r="Z171" i="11"/>
  <c r="AK170" i="11"/>
  <c r="Z170" i="11"/>
  <c r="AK169" i="11"/>
  <c r="Z169" i="11"/>
  <c r="AK168" i="11"/>
  <c r="Z168" i="11"/>
  <c r="AK167" i="11"/>
  <c r="Z167" i="11"/>
  <c r="AK166" i="11"/>
  <c r="Z166" i="11"/>
  <c r="AK165" i="11"/>
  <c r="Z165" i="11"/>
  <c r="AK164" i="11"/>
  <c r="Z164" i="11"/>
  <c r="AK163" i="11"/>
  <c r="Z163" i="11"/>
  <c r="AK162" i="11"/>
  <c r="Z162" i="11"/>
  <c r="AK161" i="11"/>
  <c r="Z161" i="11"/>
  <c r="AK160" i="11"/>
  <c r="Z160" i="11"/>
  <c r="AK159" i="11"/>
  <c r="Z159" i="11"/>
  <c r="AK158" i="11"/>
  <c r="Z158" i="11"/>
  <c r="AK157" i="11"/>
  <c r="Z157" i="11"/>
  <c r="AK156" i="11"/>
  <c r="Z156" i="11"/>
  <c r="AK155" i="11"/>
  <c r="Z155" i="11"/>
  <c r="AK154" i="11"/>
  <c r="Z154" i="11"/>
  <c r="AK153" i="11"/>
  <c r="Z153" i="11"/>
  <c r="AK152" i="11"/>
  <c r="Z152" i="11"/>
  <c r="AK151" i="11"/>
  <c r="Z151" i="11"/>
  <c r="AK150" i="11"/>
  <c r="Z150" i="11"/>
  <c r="AK149" i="11"/>
  <c r="Z149" i="11"/>
  <c r="AK148" i="11"/>
  <c r="Z148" i="11"/>
  <c r="AK147" i="11"/>
  <c r="Z147" i="11"/>
  <c r="AK146" i="11"/>
  <c r="Z146" i="11"/>
  <c r="AK145" i="11"/>
  <c r="Z145" i="11"/>
  <c r="AK144" i="11"/>
  <c r="Z144" i="11"/>
  <c r="AK143" i="11"/>
  <c r="Z143" i="11"/>
  <c r="AK142" i="11"/>
  <c r="Z142" i="11"/>
  <c r="AK141" i="11"/>
  <c r="Z141" i="11"/>
  <c r="AK140" i="11"/>
  <c r="Z140" i="11"/>
  <c r="AK139" i="11"/>
  <c r="Z139" i="11"/>
  <c r="AK138" i="11"/>
  <c r="Z138" i="11"/>
  <c r="AK137" i="11"/>
  <c r="Z137" i="11"/>
  <c r="AK136" i="11"/>
  <c r="Z136" i="11"/>
  <c r="AK135" i="11"/>
  <c r="Z135" i="11"/>
  <c r="AK134" i="11"/>
  <c r="Z134" i="11"/>
  <c r="AK133" i="11"/>
  <c r="Z133" i="11"/>
  <c r="AK132" i="11"/>
  <c r="Z132" i="11"/>
  <c r="AK131" i="11"/>
  <c r="Z131" i="11"/>
  <c r="AK130" i="11"/>
  <c r="Z130" i="11"/>
  <c r="AK129" i="11"/>
  <c r="Z129" i="11"/>
  <c r="AK128" i="11"/>
  <c r="Z128" i="11"/>
  <c r="AK127" i="11"/>
  <c r="Z127" i="11"/>
  <c r="AK126" i="11"/>
  <c r="Z126" i="11"/>
  <c r="AK125" i="11"/>
  <c r="Z125" i="11"/>
  <c r="AK124" i="11"/>
  <c r="Z124" i="11"/>
  <c r="AK123" i="11"/>
  <c r="Z123" i="11"/>
  <c r="AK122" i="11"/>
  <c r="Z122" i="11"/>
  <c r="AK121" i="11"/>
  <c r="Z121" i="11"/>
  <c r="AK120" i="11"/>
  <c r="Z120" i="11"/>
  <c r="AK119" i="11"/>
  <c r="Z119" i="11"/>
  <c r="AK118" i="11"/>
  <c r="Z118" i="11"/>
  <c r="AK117" i="11"/>
  <c r="Z117" i="11"/>
  <c r="AK116" i="11"/>
  <c r="Z116" i="11"/>
  <c r="AK115" i="11"/>
  <c r="Z115" i="11"/>
  <c r="AK114" i="11"/>
  <c r="Z114" i="11"/>
  <c r="AK113" i="11"/>
  <c r="Z113" i="11"/>
  <c r="AK112" i="11"/>
  <c r="Z112" i="11"/>
  <c r="AK111" i="11"/>
  <c r="Z111" i="11"/>
  <c r="AK110" i="11"/>
  <c r="Z110" i="11"/>
  <c r="AK109" i="11"/>
  <c r="Z109" i="11"/>
  <c r="AK108" i="11"/>
  <c r="Z108" i="11"/>
  <c r="AK107" i="11"/>
  <c r="Z107" i="11"/>
  <c r="AK106" i="11"/>
  <c r="Z106" i="11"/>
  <c r="AK105" i="11"/>
  <c r="Z105" i="11"/>
  <c r="AK104" i="11"/>
  <c r="Z104" i="11"/>
  <c r="AK103" i="11"/>
  <c r="Z103" i="11"/>
  <c r="AK102" i="11"/>
  <c r="Z102" i="11"/>
  <c r="AK101" i="11"/>
  <c r="Z101" i="11"/>
  <c r="AK100" i="11"/>
  <c r="Z100" i="11"/>
  <c r="AK99" i="11"/>
  <c r="Z99" i="11"/>
  <c r="AK98" i="11"/>
  <c r="Z98" i="11"/>
  <c r="AK97" i="11"/>
  <c r="Z97" i="11"/>
  <c r="AK96" i="11"/>
  <c r="Z96" i="11"/>
  <c r="AK95" i="11"/>
  <c r="Z95" i="11"/>
  <c r="AK94" i="11"/>
  <c r="Z94" i="11"/>
  <c r="AK93" i="11"/>
  <c r="Z93" i="11"/>
  <c r="AK92" i="11"/>
  <c r="Z92" i="11"/>
  <c r="AK91" i="11"/>
  <c r="Z91" i="11"/>
  <c r="AK90" i="11"/>
  <c r="Z90" i="11"/>
  <c r="AK89" i="11"/>
  <c r="Z89" i="11"/>
  <c r="AK88" i="11"/>
  <c r="Z88" i="11"/>
  <c r="AK87" i="11"/>
  <c r="Z87" i="11"/>
  <c r="AK86" i="11"/>
  <c r="Z86" i="11"/>
  <c r="AK85" i="11"/>
  <c r="Z85" i="11"/>
  <c r="AK84" i="11"/>
  <c r="Z84" i="11"/>
  <c r="AK83" i="11"/>
  <c r="Z83" i="11"/>
  <c r="AK82" i="11"/>
  <c r="Z82" i="11"/>
  <c r="AK81" i="11"/>
  <c r="Z81" i="11"/>
  <c r="AK80" i="11"/>
  <c r="Z80" i="11"/>
  <c r="AK79" i="11"/>
  <c r="Z79" i="11"/>
  <c r="AK78" i="11"/>
  <c r="Z78" i="11"/>
  <c r="AK77" i="11"/>
  <c r="Z77" i="11"/>
  <c r="AK76" i="11"/>
  <c r="Z76" i="11"/>
  <c r="AK75" i="11"/>
  <c r="Z75" i="11"/>
  <c r="AK74" i="11"/>
  <c r="Z74" i="11"/>
  <c r="AK73" i="11"/>
  <c r="Z73" i="11"/>
  <c r="AK72" i="11"/>
  <c r="Z72" i="11"/>
  <c r="AK71" i="11"/>
  <c r="Z71" i="11"/>
  <c r="AK70" i="11"/>
  <c r="Z70" i="11"/>
  <c r="AK69" i="11"/>
  <c r="Z69" i="11"/>
  <c r="AK68" i="11"/>
  <c r="Z68" i="11"/>
  <c r="AK67" i="11"/>
  <c r="Z67" i="11"/>
  <c r="AK66" i="11"/>
  <c r="Z66" i="11"/>
  <c r="AK65" i="11"/>
  <c r="Z65" i="11"/>
  <c r="AK64" i="11"/>
  <c r="Z64" i="11"/>
  <c r="AK63" i="11"/>
  <c r="Z63" i="11"/>
  <c r="AK62" i="11"/>
  <c r="Z62" i="11"/>
  <c r="AK61" i="11"/>
  <c r="Z61" i="11"/>
  <c r="AK60" i="11"/>
  <c r="Z60" i="11"/>
  <c r="AK59" i="11"/>
  <c r="Z59" i="11"/>
  <c r="AK58" i="11"/>
  <c r="Z58" i="11"/>
  <c r="AK57" i="11"/>
  <c r="Z57" i="11"/>
  <c r="AK56" i="11"/>
  <c r="Z56" i="11"/>
  <c r="AK55" i="11"/>
  <c r="Z55" i="11"/>
  <c r="AK54" i="11"/>
  <c r="Z54" i="11"/>
  <c r="AK53" i="11"/>
  <c r="Z53" i="11"/>
  <c r="AK52" i="11"/>
  <c r="Z52" i="11"/>
  <c r="AK51" i="11"/>
  <c r="Z51" i="11"/>
  <c r="AK50" i="11"/>
  <c r="Z50" i="11"/>
  <c r="AK49" i="11"/>
  <c r="Z49" i="11"/>
  <c r="AK48" i="11"/>
  <c r="Z48" i="11"/>
  <c r="AK47" i="11"/>
  <c r="Z47" i="11"/>
  <c r="AK46" i="11"/>
  <c r="Z46" i="11"/>
  <c r="AK45" i="11"/>
  <c r="Z45" i="11"/>
  <c r="AK44" i="11"/>
  <c r="Z44" i="11"/>
  <c r="AK43" i="11"/>
  <c r="Z43" i="11"/>
  <c r="AK42" i="11"/>
  <c r="Z42" i="11"/>
  <c r="AK41" i="11"/>
  <c r="Z41" i="11"/>
  <c r="AK40" i="11"/>
  <c r="Z40" i="11"/>
  <c r="AK39" i="11"/>
  <c r="Z39" i="11"/>
  <c r="AK38" i="11"/>
  <c r="Z38" i="11"/>
  <c r="AK37" i="11"/>
  <c r="Z37" i="11"/>
  <c r="AK36" i="11"/>
  <c r="Z36" i="11"/>
  <c r="AK35" i="11"/>
  <c r="Z35" i="11"/>
  <c r="AK34" i="11"/>
  <c r="Z34" i="11"/>
  <c r="AK33" i="11"/>
  <c r="Z33" i="11"/>
  <c r="AK32" i="11"/>
  <c r="Z32" i="11"/>
  <c r="AK31" i="11"/>
  <c r="Z31" i="11"/>
  <c r="AK30" i="11"/>
  <c r="Z30" i="11"/>
  <c r="AK29" i="11"/>
  <c r="Z29" i="11"/>
  <c r="AK28" i="11"/>
  <c r="Z28" i="11"/>
  <c r="AK27" i="11"/>
  <c r="Z27" i="11"/>
  <c r="AK26" i="11"/>
  <c r="Z26" i="11"/>
  <c r="AK25" i="11"/>
  <c r="Z25" i="11"/>
  <c r="AK24" i="11"/>
  <c r="Z24" i="11"/>
  <c r="AK23" i="11"/>
  <c r="Z23" i="11"/>
  <c r="AK22" i="11"/>
  <c r="Z22" i="11"/>
  <c r="AK21" i="11"/>
  <c r="Z21" i="11"/>
  <c r="AK20" i="11"/>
  <c r="Z20" i="11"/>
  <c r="AK19" i="11"/>
  <c r="Z19" i="11"/>
  <c r="AK18" i="11"/>
  <c r="Z18" i="11"/>
  <c r="AK17" i="11"/>
  <c r="Z17" i="11"/>
  <c r="AK16" i="11"/>
  <c r="Z16" i="11"/>
  <c r="AK15" i="11"/>
  <c r="Z15" i="11"/>
  <c r="AK14" i="11"/>
  <c r="Z14" i="11"/>
  <c r="AK13" i="11"/>
  <c r="Z13" i="11"/>
  <c r="AK12" i="11"/>
  <c r="Z12" i="11"/>
  <c r="AK11" i="11"/>
  <c r="Z11" i="11"/>
  <c r="AK10" i="11"/>
  <c r="Z10" i="11"/>
  <c r="AK9" i="11"/>
  <c r="Z9" i="11"/>
  <c r="AK8" i="11"/>
  <c r="Z8" i="11"/>
  <c r="AK7" i="11"/>
  <c r="Z7" i="11"/>
  <c r="AK6" i="11"/>
  <c r="Z6" i="11"/>
  <c r="AK5" i="11"/>
  <c r="Z5" i="11"/>
  <c r="AK4" i="11"/>
  <c r="Z4" i="11"/>
  <c r="AK3" i="11"/>
  <c r="Z3" i="11"/>
  <c r="AK2" i="11"/>
  <c r="Z2" i="11"/>
  <c r="Y57" i="10"/>
  <c r="J67" i="10"/>
  <c r="M67" i="10"/>
  <c r="P67" i="10"/>
  <c r="S67" i="10"/>
  <c r="V67" i="10"/>
  <c r="Y67" i="10"/>
  <c r="Y58" i="10"/>
  <c r="J68" i="10"/>
  <c r="M68" i="10"/>
  <c r="P68" i="10"/>
  <c r="S68" i="10"/>
  <c r="V68" i="10"/>
  <c r="Y68" i="10"/>
  <c r="Y59" i="10"/>
  <c r="J69" i="10"/>
  <c r="M69" i="10"/>
  <c r="P69" i="10"/>
  <c r="S69" i="10"/>
  <c r="V69" i="10"/>
  <c r="Y69" i="10"/>
  <c r="Y60" i="10"/>
  <c r="J70" i="10"/>
  <c r="M70" i="10"/>
  <c r="P70" i="10"/>
  <c r="S70" i="10"/>
  <c r="V70" i="10"/>
  <c r="Y70" i="10"/>
  <c r="Y71" i="10"/>
  <c r="X57" i="10"/>
  <c r="I67" i="10"/>
  <c r="L67" i="10"/>
  <c r="O67" i="10"/>
  <c r="R67" i="10"/>
  <c r="U67" i="10"/>
  <c r="X67" i="10"/>
  <c r="X58" i="10"/>
  <c r="I68" i="10"/>
  <c r="L68" i="10"/>
  <c r="O68" i="10"/>
  <c r="R68" i="10"/>
  <c r="U68" i="10"/>
  <c r="X68" i="10"/>
  <c r="X60" i="10"/>
  <c r="I70" i="10"/>
  <c r="L70" i="10"/>
  <c r="O70" i="10"/>
  <c r="R70" i="10"/>
  <c r="U70" i="10"/>
  <c r="X70" i="10"/>
  <c r="X71" i="10"/>
  <c r="W57" i="10"/>
  <c r="H67" i="10"/>
  <c r="K67" i="10"/>
  <c r="N67" i="10"/>
  <c r="Q67" i="10"/>
  <c r="T67" i="10"/>
  <c r="W67" i="10"/>
  <c r="W58" i="10"/>
  <c r="H68" i="10"/>
  <c r="K68" i="10"/>
  <c r="N68" i="10"/>
  <c r="Q68" i="10"/>
  <c r="T68" i="10"/>
  <c r="W68" i="10"/>
  <c r="W59" i="10"/>
  <c r="H69" i="10"/>
  <c r="K69" i="10"/>
  <c r="N69" i="10"/>
  <c r="Q69" i="10"/>
  <c r="T69" i="10"/>
  <c r="W69" i="10"/>
  <c r="W60" i="10"/>
  <c r="H70" i="10"/>
  <c r="K70" i="10"/>
  <c r="N70" i="10"/>
  <c r="Q70" i="10"/>
  <c r="T70" i="10"/>
  <c r="W70" i="10"/>
  <c r="W71" i="10"/>
  <c r="V71" i="10"/>
  <c r="I69" i="10"/>
  <c r="L69" i="10"/>
  <c r="O69" i="10"/>
  <c r="R69" i="10"/>
  <c r="U69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Y36" i="10"/>
  <c r="V36" i="10"/>
  <c r="S36" i="10"/>
  <c r="P36" i="10"/>
  <c r="G36" i="10"/>
  <c r="J46" i="10"/>
  <c r="M46" i="10"/>
  <c r="P46" i="10"/>
  <c r="S46" i="10"/>
  <c r="V46" i="10"/>
  <c r="Y46" i="10"/>
  <c r="Y37" i="10"/>
  <c r="V37" i="10"/>
  <c r="S37" i="10"/>
  <c r="P37" i="10"/>
  <c r="G37" i="10"/>
  <c r="J47" i="10"/>
  <c r="M47" i="10"/>
  <c r="P47" i="10"/>
  <c r="S47" i="10"/>
  <c r="V47" i="10"/>
  <c r="Y47" i="10"/>
  <c r="Y38" i="10"/>
  <c r="V38" i="10"/>
  <c r="S38" i="10"/>
  <c r="P38" i="10"/>
  <c r="G38" i="10"/>
  <c r="J48" i="10"/>
  <c r="M48" i="10"/>
  <c r="P48" i="10"/>
  <c r="S48" i="10"/>
  <c r="V48" i="10"/>
  <c r="Y48" i="10"/>
  <c r="Y39" i="10"/>
  <c r="V39" i="10"/>
  <c r="S39" i="10"/>
  <c r="P39" i="10"/>
  <c r="G39" i="10"/>
  <c r="J49" i="10"/>
  <c r="M49" i="10"/>
  <c r="P49" i="10"/>
  <c r="S49" i="10"/>
  <c r="V49" i="10"/>
  <c r="Y49" i="10"/>
  <c r="Y50" i="10"/>
  <c r="X36" i="10"/>
  <c r="U36" i="10"/>
  <c r="R36" i="10"/>
  <c r="O36" i="10"/>
  <c r="F36" i="10"/>
  <c r="I46" i="10"/>
  <c r="L46" i="10"/>
  <c r="O46" i="10"/>
  <c r="R46" i="10"/>
  <c r="U46" i="10"/>
  <c r="X46" i="10"/>
  <c r="X37" i="10"/>
  <c r="U37" i="10"/>
  <c r="R37" i="10"/>
  <c r="O37" i="10"/>
  <c r="F37" i="10"/>
  <c r="I47" i="10"/>
  <c r="L47" i="10"/>
  <c r="O47" i="10"/>
  <c r="R47" i="10"/>
  <c r="U47" i="10"/>
  <c r="X47" i="10"/>
  <c r="X39" i="10"/>
  <c r="U39" i="10"/>
  <c r="R39" i="10"/>
  <c r="O39" i="10"/>
  <c r="I49" i="10"/>
  <c r="L49" i="10"/>
  <c r="O49" i="10"/>
  <c r="R49" i="10"/>
  <c r="U49" i="10"/>
  <c r="X49" i="10"/>
  <c r="X50" i="10"/>
  <c r="W36" i="10"/>
  <c r="T36" i="10"/>
  <c r="Q36" i="10"/>
  <c r="N36" i="10"/>
  <c r="H36" i="10"/>
  <c r="E36" i="10"/>
  <c r="H46" i="10"/>
  <c r="K46" i="10"/>
  <c r="N46" i="10"/>
  <c r="Q46" i="10"/>
  <c r="T46" i="10"/>
  <c r="W46" i="10"/>
  <c r="W37" i="10"/>
  <c r="T37" i="10"/>
  <c r="Q37" i="10"/>
  <c r="N37" i="10"/>
  <c r="H37" i="10"/>
  <c r="E37" i="10"/>
  <c r="H47" i="10"/>
  <c r="K47" i="10"/>
  <c r="N47" i="10"/>
  <c r="Q47" i="10"/>
  <c r="T47" i="10"/>
  <c r="W47" i="10"/>
  <c r="W38" i="10"/>
  <c r="T38" i="10"/>
  <c r="Q38" i="10"/>
  <c r="N38" i="10"/>
  <c r="E38" i="10"/>
  <c r="H48" i="10"/>
  <c r="K48" i="10"/>
  <c r="N48" i="10"/>
  <c r="Q48" i="10"/>
  <c r="T48" i="10"/>
  <c r="W48" i="10"/>
  <c r="W39" i="10"/>
  <c r="T39" i="10"/>
  <c r="Q39" i="10"/>
  <c r="N39" i="10"/>
  <c r="E39" i="10"/>
  <c r="H49" i="10"/>
  <c r="K49" i="10"/>
  <c r="N49" i="10"/>
  <c r="Q49" i="10"/>
  <c r="T49" i="10"/>
  <c r="W49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Y40" i="10"/>
  <c r="X40" i="10"/>
  <c r="W40" i="10"/>
  <c r="V40" i="10"/>
  <c r="U40" i="10"/>
  <c r="T40" i="10"/>
  <c r="S40" i="10"/>
  <c r="R38" i="10"/>
  <c r="R40" i="10"/>
  <c r="Q40" i="10"/>
  <c r="P40" i="10"/>
  <c r="O38" i="10"/>
  <c r="O40" i="10"/>
  <c r="N40" i="10"/>
  <c r="M40" i="10"/>
  <c r="L40" i="10"/>
  <c r="K40" i="10"/>
  <c r="J40" i="10"/>
  <c r="I40" i="10"/>
  <c r="H40" i="10"/>
  <c r="G40" i="10"/>
  <c r="F40" i="10"/>
  <c r="E40" i="10"/>
  <c r="Y15" i="10"/>
  <c r="D15" i="10"/>
  <c r="G25" i="10"/>
  <c r="J25" i="10"/>
  <c r="M25" i="10"/>
  <c r="P25" i="10"/>
  <c r="S25" i="10"/>
  <c r="V25" i="10"/>
  <c r="Y25" i="10"/>
  <c r="Y16" i="10"/>
  <c r="D16" i="10"/>
  <c r="G26" i="10"/>
  <c r="J26" i="10"/>
  <c r="M26" i="10"/>
  <c r="P26" i="10"/>
  <c r="S26" i="10"/>
  <c r="V26" i="10"/>
  <c r="Y26" i="10"/>
  <c r="D17" i="10"/>
  <c r="G27" i="10"/>
  <c r="J27" i="10"/>
  <c r="M27" i="10"/>
  <c r="P27" i="10"/>
  <c r="S27" i="10"/>
  <c r="V27" i="10"/>
  <c r="Y27" i="10"/>
  <c r="D18" i="10"/>
  <c r="G28" i="10"/>
  <c r="J28" i="10"/>
  <c r="M28" i="10"/>
  <c r="P28" i="10"/>
  <c r="S28" i="10"/>
  <c r="V28" i="10"/>
  <c r="Y28" i="10"/>
  <c r="Y29" i="10"/>
  <c r="X15" i="10"/>
  <c r="C15" i="10"/>
  <c r="F25" i="10"/>
  <c r="I25" i="10"/>
  <c r="L25" i="10"/>
  <c r="O25" i="10"/>
  <c r="R25" i="10"/>
  <c r="U25" i="10"/>
  <c r="X25" i="10"/>
  <c r="X16" i="10"/>
  <c r="C16" i="10"/>
  <c r="F26" i="10"/>
  <c r="I26" i="10"/>
  <c r="L26" i="10"/>
  <c r="O26" i="10"/>
  <c r="R26" i="10"/>
  <c r="U26" i="10"/>
  <c r="X26" i="10"/>
  <c r="C17" i="10"/>
  <c r="F27" i="10"/>
  <c r="I27" i="10"/>
  <c r="L27" i="10"/>
  <c r="O27" i="10"/>
  <c r="R27" i="10"/>
  <c r="U27" i="10"/>
  <c r="X27" i="10"/>
  <c r="C18" i="10"/>
  <c r="F28" i="10"/>
  <c r="I28" i="10"/>
  <c r="L28" i="10"/>
  <c r="O28" i="10"/>
  <c r="R28" i="10"/>
  <c r="U28" i="10"/>
  <c r="X28" i="10"/>
  <c r="X29" i="10"/>
  <c r="W15" i="10"/>
  <c r="E15" i="10"/>
  <c r="B15" i="10"/>
  <c r="E25" i="10"/>
  <c r="H25" i="10"/>
  <c r="K25" i="10"/>
  <c r="N25" i="10"/>
  <c r="Q25" i="10"/>
  <c r="T25" i="10"/>
  <c r="W25" i="10"/>
  <c r="W16" i="10"/>
  <c r="E16" i="10"/>
  <c r="B16" i="10"/>
  <c r="E26" i="10"/>
  <c r="H26" i="10"/>
  <c r="K26" i="10"/>
  <c r="N26" i="10"/>
  <c r="Q26" i="10"/>
  <c r="T26" i="10"/>
  <c r="W26" i="10"/>
  <c r="W17" i="10"/>
  <c r="E17" i="10"/>
  <c r="B17" i="10"/>
  <c r="E27" i="10"/>
  <c r="H27" i="10"/>
  <c r="K27" i="10"/>
  <c r="N27" i="10"/>
  <c r="Q27" i="10"/>
  <c r="T27" i="10"/>
  <c r="W27" i="10"/>
  <c r="W18" i="10"/>
  <c r="E18" i="10"/>
  <c r="B18" i="10"/>
  <c r="E28" i="10"/>
  <c r="H28" i="10"/>
  <c r="K28" i="10"/>
  <c r="N28" i="10"/>
  <c r="Q28" i="10"/>
  <c r="T28" i="10"/>
  <c r="W28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B5" i="10"/>
  <c r="B4" i="10"/>
  <c r="B3" i="10"/>
  <c r="G66" i="9"/>
  <c r="I66" i="9"/>
  <c r="K66" i="9"/>
  <c r="M66" i="9"/>
  <c r="O66" i="9"/>
  <c r="Q66" i="9"/>
  <c r="G67" i="9"/>
  <c r="I67" i="9"/>
  <c r="K67" i="9"/>
  <c r="M67" i="9"/>
  <c r="O67" i="9"/>
  <c r="Q67" i="9"/>
  <c r="Q58" i="9"/>
  <c r="G68" i="9"/>
  <c r="I68" i="9"/>
  <c r="K68" i="9"/>
  <c r="M68" i="9"/>
  <c r="O68" i="9"/>
  <c r="Q68" i="9"/>
  <c r="G69" i="9"/>
  <c r="I69" i="9"/>
  <c r="K69" i="9"/>
  <c r="M69" i="9"/>
  <c r="O69" i="9"/>
  <c r="Q69" i="9"/>
  <c r="Q70" i="9"/>
  <c r="P56" i="9"/>
  <c r="F66" i="9"/>
  <c r="H66" i="9"/>
  <c r="J66" i="9"/>
  <c r="L66" i="9"/>
  <c r="N66" i="9"/>
  <c r="P66" i="9"/>
  <c r="P57" i="9"/>
  <c r="F67" i="9"/>
  <c r="H67" i="9"/>
  <c r="J67" i="9"/>
  <c r="L67" i="9"/>
  <c r="N67" i="9"/>
  <c r="P67" i="9"/>
  <c r="P58" i="9"/>
  <c r="F68" i="9"/>
  <c r="H68" i="9"/>
  <c r="J68" i="9"/>
  <c r="L68" i="9"/>
  <c r="N68" i="9"/>
  <c r="P68" i="9"/>
  <c r="P59" i="9"/>
  <c r="F69" i="9"/>
  <c r="H69" i="9"/>
  <c r="J69" i="9"/>
  <c r="L69" i="9"/>
  <c r="N69" i="9"/>
  <c r="P69" i="9"/>
  <c r="P70" i="9"/>
  <c r="O70" i="9"/>
  <c r="N70" i="9"/>
  <c r="M70" i="9"/>
  <c r="L70" i="9"/>
  <c r="K70" i="9"/>
  <c r="J70" i="9"/>
  <c r="I70" i="9"/>
  <c r="H70" i="9"/>
  <c r="G70" i="9"/>
  <c r="F7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Q35" i="9"/>
  <c r="O35" i="9"/>
  <c r="M35" i="9"/>
  <c r="K35" i="9"/>
  <c r="G45" i="9"/>
  <c r="I45" i="9"/>
  <c r="K45" i="9"/>
  <c r="M45" i="9"/>
  <c r="O45" i="9"/>
  <c r="Q45" i="9"/>
  <c r="Q36" i="9"/>
  <c r="O36" i="9"/>
  <c r="M36" i="9"/>
  <c r="G46" i="9"/>
  <c r="I46" i="9"/>
  <c r="K46" i="9"/>
  <c r="M46" i="9"/>
  <c r="O46" i="9"/>
  <c r="Q46" i="9"/>
  <c r="Q37" i="9"/>
  <c r="O37" i="9"/>
  <c r="M37" i="9"/>
  <c r="K37" i="9"/>
  <c r="E37" i="9"/>
  <c r="G47" i="9"/>
  <c r="I47" i="9"/>
  <c r="K47" i="9"/>
  <c r="M47" i="9"/>
  <c r="O47" i="9"/>
  <c r="Q47" i="9"/>
  <c r="Q38" i="9"/>
  <c r="O38" i="9"/>
  <c r="M38" i="9"/>
  <c r="G48" i="9"/>
  <c r="I48" i="9"/>
  <c r="K48" i="9"/>
  <c r="M48" i="9"/>
  <c r="O48" i="9"/>
  <c r="Q48" i="9"/>
  <c r="Q49" i="9"/>
  <c r="P35" i="9"/>
  <c r="N35" i="9"/>
  <c r="L35" i="9"/>
  <c r="J35" i="9"/>
  <c r="D35" i="9"/>
  <c r="F45" i="9"/>
  <c r="H45" i="9"/>
  <c r="J45" i="9"/>
  <c r="L45" i="9"/>
  <c r="N45" i="9"/>
  <c r="P45" i="9"/>
  <c r="P36" i="9"/>
  <c r="N36" i="9"/>
  <c r="L36" i="9"/>
  <c r="J36" i="9"/>
  <c r="D36" i="9"/>
  <c r="F46" i="9"/>
  <c r="H46" i="9"/>
  <c r="J46" i="9"/>
  <c r="L46" i="9"/>
  <c r="N46" i="9"/>
  <c r="P46" i="9"/>
  <c r="P37" i="9"/>
  <c r="N37" i="9"/>
  <c r="L37" i="9"/>
  <c r="J37" i="9"/>
  <c r="D37" i="9"/>
  <c r="F47" i="9"/>
  <c r="H47" i="9"/>
  <c r="J47" i="9"/>
  <c r="L47" i="9"/>
  <c r="N47" i="9"/>
  <c r="P47" i="9"/>
  <c r="P38" i="9"/>
  <c r="N38" i="9"/>
  <c r="L38" i="9"/>
  <c r="J38" i="9"/>
  <c r="D38" i="9"/>
  <c r="F48" i="9"/>
  <c r="H48" i="9"/>
  <c r="J48" i="9"/>
  <c r="L48" i="9"/>
  <c r="N48" i="9"/>
  <c r="P48" i="9"/>
  <c r="P49" i="9"/>
  <c r="O49" i="9"/>
  <c r="N49" i="9"/>
  <c r="M49" i="9"/>
  <c r="L49" i="9"/>
  <c r="K49" i="9"/>
  <c r="J49" i="9"/>
  <c r="I49" i="9"/>
  <c r="H49" i="9"/>
  <c r="G49" i="9"/>
  <c r="F4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Q14" i="9"/>
  <c r="O14" i="9"/>
  <c r="M14" i="9"/>
  <c r="K14" i="9"/>
  <c r="I14" i="9"/>
  <c r="G14" i="9"/>
  <c r="E14" i="9"/>
  <c r="C14" i="9"/>
  <c r="E24" i="9"/>
  <c r="G24" i="9"/>
  <c r="I24" i="9"/>
  <c r="K24" i="9"/>
  <c r="M24" i="9"/>
  <c r="O24" i="9"/>
  <c r="Q24" i="9"/>
  <c r="Q15" i="9"/>
  <c r="G15" i="9"/>
  <c r="C15" i="9"/>
  <c r="E25" i="9"/>
  <c r="G25" i="9"/>
  <c r="I25" i="9"/>
  <c r="K25" i="9"/>
  <c r="M25" i="9"/>
  <c r="O25" i="9"/>
  <c r="Q25" i="9"/>
  <c r="Q16" i="9"/>
  <c r="O16" i="9"/>
  <c r="M16" i="9"/>
  <c r="K16" i="9"/>
  <c r="I16" i="9"/>
  <c r="G16" i="9"/>
  <c r="E16" i="9"/>
  <c r="C16" i="9"/>
  <c r="E26" i="9"/>
  <c r="G26" i="9"/>
  <c r="I26" i="9"/>
  <c r="K26" i="9"/>
  <c r="M26" i="9"/>
  <c r="O26" i="9"/>
  <c r="Q26" i="9"/>
  <c r="E17" i="9"/>
  <c r="C17" i="9"/>
  <c r="E27" i="9"/>
  <c r="G27" i="9"/>
  <c r="I27" i="9"/>
  <c r="K27" i="9"/>
  <c r="M27" i="9"/>
  <c r="O27" i="9"/>
  <c r="Q27" i="9"/>
  <c r="Q28" i="9"/>
  <c r="P14" i="9"/>
  <c r="N14" i="9"/>
  <c r="L14" i="9"/>
  <c r="J14" i="9"/>
  <c r="H14" i="9"/>
  <c r="F14" i="9"/>
  <c r="D14" i="9"/>
  <c r="B14" i="9"/>
  <c r="D24" i="9"/>
  <c r="F24" i="9"/>
  <c r="H24" i="9"/>
  <c r="J24" i="9"/>
  <c r="L24" i="9"/>
  <c r="N24" i="9"/>
  <c r="P24" i="9"/>
  <c r="P15" i="9"/>
  <c r="N15" i="9"/>
  <c r="L15" i="9"/>
  <c r="J15" i="9"/>
  <c r="H15" i="9"/>
  <c r="F15" i="9"/>
  <c r="D15" i="9"/>
  <c r="B15" i="9"/>
  <c r="D25" i="9"/>
  <c r="F25" i="9"/>
  <c r="H25" i="9"/>
  <c r="J25" i="9"/>
  <c r="L25" i="9"/>
  <c r="N25" i="9"/>
  <c r="P25" i="9"/>
  <c r="P16" i="9"/>
  <c r="N16" i="9"/>
  <c r="L16" i="9"/>
  <c r="J16" i="9"/>
  <c r="H16" i="9"/>
  <c r="F16" i="9"/>
  <c r="D16" i="9"/>
  <c r="B16" i="9"/>
  <c r="D26" i="9"/>
  <c r="F26" i="9"/>
  <c r="H26" i="9"/>
  <c r="J26" i="9"/>
  <c r="L26" i="9"/>
  <c r="N26" i="9"/>
  <c r="P26" i="9"/>
  <c r="P17" i="9"/>
  <c r="N17" i="9"/>
  <c r="L17" i="9"/>
  <c r="J17" i="9"/>
  <c r="H17" i="9"/>
  <c r="F17" i="9"/>
  <c r="D17" i="9"/>
  <c r="B17" i="9"/>
  <c r="D27" i="9"/>
  <c r="F27" i="9"/>
  <c r="H27" i="9"/>
  <c r="J27" i="9"/>
  <c r="L27" i="9"/>
  <c r="N27" i="9"/>
  <c r="P27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B4" i="9"/>
  <c r="B3" i="9"/>
  <c r="B3" i="7"/>
  <c r="C3" i="7"/>
  <c r="E3" i="7"/>
  <c r="F3" i="7"/>
  <c r="G3" i="7"/>
  <c r="H3" i="7"/>
  <c r="I3" i="7"/>
  <c r="J3" i="7"/>
  <c r="K3" i="7"/>
  <c r="L3" i="7"/>
  <c r="M3" i="7"/>
  <c r="N3" i="7"/>
  <c r="O3" i="7"/>
  <c r="P3" i="7"/>
  <c r="B4" i="7"/>
  <c r="C4" i="7"/>
  <c r="E4" i="7"/>
  <c r="F4" i="7"/>
  <c r="G4" i="7"/>
  <c r="H4" i="7"/>
  <c r="I4" i="7"/>
  <c r="J4" i="7"/>
  <c r="K4" i="7"/>
  <c r="L4" i="7"/>
  <c r="M4" i="7"/>
  <c r="N4" i="7"/>
  <c r="O4" i="7"/>
  <c r="P4" i="7"/>
  <c r="B5" i="7"/>
  <c r="C5" i="7"/>
  <c r="E5" i="7"/>
  <c r="F5" i="7"/>
  <c r="G5" i="7"/>
  <c r="H5" i="7"/>
  <c r="I5" i="7"/>
  <c r="J5" i="7"/>
  <c r="K5" i="7"/>
  <c r="L5" i="7"/>
  <c r="M5" i="7"/>
  <c r="N5" i="7"/>
  <c r="O5" i="7"/>
  <c r="P5" i="7"/>
  <c r="B6" i="7"/>
  <c r="C6" i="7"/>
  <c r="B7" i="7"/>
  <c r="C7" i="7"/>
  <c r="E7" i="7"/>
  <c r="F7" i="7"/>
  <c r="G7" i="7"/>
  <c r="H7" i="7"/>
  <c r="I7" i="7"/>
  <c r="J7" i="7"/>
  <c r="K7" i="7"/>
  <c r="L7" i="7"/>
  <c r="M7" i="7"/>
  <c r="N7" i="7"/>
  <c r="O7" i="7"/>
  <c r="P7" i="7"/>
  <c r="B8" i="7"/>
  <c r="C8" i="7"/>
  <c r="E8" i="7"/>
  <c r="F8" i="7"/>
  <c r="G8" i="7"/>
  <c r="H8" i="7"/>
  <c r="I8" i="7"/>
  <c r="J8" i="7"/>
  <c r="K8" i="7"/>
  <c r="L8" i="7"/>
  <c r="M8" i="7"/>
  <c r="N8" i="7"/>
  <c r="O8" i="7"/>
  <c r="P8" i="7"/>
  <c r="B9" i="7"/>
  <c r="C9" i="7"/>
  <c r="B10" i="7"/>
  <c r="C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E11" i="7"/>
  <c r="F11" i="7"/>
  <c r="G11" i="7"/>
  <c r="H11" i="7"/>
  <c r="I11" i="7"/>
  <c r="J11" i="7"/>
  <c r="K11" i="7"/>
  <c r="L11" i="7"/>
  <c r="M11" i="7"/>
  <c r="N11" i="7"/>
  <c r="O11" i="7"/>
  <c r="P11" i="7"/>
  <c r="B12" i="7"/>
  <c r="C12" i="7"/>
  <c r="E12" i="7"/>
  <c r="F12" i="7"/>
  <c r="G12" i="7"/>
  <c r="H12" i="7"/>
  <c r="I12" i="7"/>
  <c r="J12" i="7"/>
  <c r="K12" i="7"/>
  <c r="L12" i="7"/>
  <c r="M12" i="7"/>
  <c r="N12" i="7"/>
  <c r="O12" i="7"/>
  <c r="P12" i="7"/>
  <c r="B13" i="7"/>
  <c r="C13" i="7"/>
  <c r="B14" i="7"/>
  <c r="C14" i="7"/>
  <c r="E14" i="7"/>
  <c r="F14" i="7"/>
  <c r="G14" i="7"/>
  <c r="H14" i="7"/>
  <c r="I14" i="7"/>
  <c r="J14" i="7"/>
  <c r="K14" i="7"/>
  <c r="L14" i="7"/>
  <c r="M14" i="7"/>
  <c r="N14" i="7"/>
  <c r="O14" i="7"/>
  <c r="P14" i="7"/>
  <c r="B15" i="7"/>
  <c r="C15" i="7"/>
  <c r="E15" i="7"/>
  <c r="F15" i="7"/>
  <c r="G15" i="7"/>
  <c r="H15" i="7"/>
  <c r="I15" i="7"/>
  <c r="J15" i="7"/>
  <c r="K15" i="7"/>
  <c r="L15" i="7"/>
  <c r="M15" i="7"/>
  <c r="N15" i="7"/>
  <c r="O15" i="7"/>
  <c r="P15" i="7"/>
  <c r="B16" i="7"/>
  <c r="C16" i="7"/>
  <c r="B17" i="7"/>
  <c r="C17" i="7"/>
  <c r="B18" i="7"/>
  <c r="C18" i="7"/>
  <c r="E18" i="7"/>
  <c r="F18" i="7"/>
  <c r="G18" i="7"/>
  <c r="H18" i="7"/>
  <c r="I18" i="7"/>
  <c r="J18" i="7"/>
  <c r="K18" i="7"/>
  <c r="L18" i="7"/>
  <c r="M18" i="7"/>
  <c r="N18" i="7"/>
  <c r="O18" i="7"/>
  <c r="P18" i="7"/>
  <c r="B19" i="7"/>
  <c r="C19" i="7"/>
  <c r="E19" i="7"/>
  <c r="F19" i="7"/>
  <c r="G19" i="7"/>
  <c r="H19" i="7"/>
  <c r="I19" i="7"/>
  <c r="J19" i="7"/>
  <c r="K19" i="7"/>
  <c r="L19" i="7"/>
  <c r="M19" i="7"/>
  <c r="N19" i="7"/>
  <c r="O19" i="7"/>
  <c r="P19" i="7"/>
  <c r="B20" i="7"/>
  <c r="C20" i="7"/>
  <c r="B21" i="7"/>
  <c r="C21" i="7"/>
  <c r="B22" i="7"/>
  <c r="C22" i="7"/>
  <c r="E22" i="7"/>
  <c r="F22" i="7"/>
  <c r="G22" i="7"/>
  <c r="H22" i="7"/>
  <c r="I22" i="7"/>
  <c r="J22" i="7"/>
  <c r="K22" i="7"/>
  <c r="L22" i="7"/>
  <c r="M22" i="7"/>
  <c r="N22" i="7"/>
  <c r="O22" i="7"/>
  <c r="P22" i="7"/>
  <c r="B24" i="7"/>
  <c r="C24" i="7"/>
  <c r="E24" i="7"/>
  <c r="F24" i="7"/>
  <c r="G24" i="7"/>
  <c r="H24" i="7"/>
  <c r="I24" i="7"/>
  <c r="J24" i="7"/>
  <c r="K24" i="7"/>
  <c r="L24" i="7"/>
  <c r="M24" i="7"/>
  <c r="N24" i="7"/>
  <c r="O24" i="7"/>
  <c r="P24" i="7"/>
  <c r="O29" i="7"/>
  <c r="B29" i="7"/>
  <c r="P29" i="7"/>
  <c r="C29" i="7"/>
  <c r="E29" i="7"/>
  <c r="F29" i="7"/>
  <c r="G29" i="7"/>
  <c r="H29" i="7"/>
  <c r="I29" i="7"/>
  <c r="J29" i="7"/>
  <c r="K29" i="7"/>
  <c r="L29" i="7"/>
  <c r="M29" i="7"/>
  <c r="N29" i="7"/>
  <c r="O30" i="7"/>
  <c r="B30" i="7"/>
  <c r="P30" i="7"/>
  <c r="C30" i="7"/>
  <c r="E30" i="7"/>
  <c r="F30" i="7"/>
  <c r="G30" i="7"/>
  <c r="H30" i="7"/>
  <c r="I30" i="7"/>
  <c r="J30" i="7"/>
  <c r="K30" i="7"/>
  <c r="L30" i="7"/>
  <c r="M30" i="7"/>
  <c r="N30" i="7"/>
  <c r="O31" i="7"/>
  <c r="B31" i="7"/>
  <c r="P31" i="7"/>
  <c r="C31" i="7"/>
  <c r="E31" i="7"/>
  <c r="F31" i="7"/>
  <c r="G31" i="7"/>
  <c r="H31" i="7"/>
  <c r="I31" i="7"/>
  <c r="J31" i="7"/>
  <c r="K31" i="7"/>
  <c r="L31" i="7"/>
  <c r="M31" i="7"/>
  <c r="N31" i="7"/>
  <c r="B32" i="7"/>
  <c r="C32" i="7"/>
  <c r="O33" i="7"/>
  <c r="B33" i="7"/>
  <c r="P33" i="7"/>
  <c r="C33" i="7"/>
  <c r="E33" i="7"/>
  <c r="F33" i="7"/>
  <c r="G33" i="7"/>
  <c r="H33" i="7"/>
  <c r="I33" i="7"/>
  <c r="J33" i="7"/>
  <c r="K33" i="7"/>
  <c r="L33" i="7"/>
  <c r="M33" i="7"/>
  <c r="N33" i="7"/>
  <c r="O34" i="7"/>
  <c r="B34" i="7"/>
  <c r="P34" i="7"/>
  <c r="C34" i="7"/>
  <c r="E34" i="7"/>
  <c r="F34" i="7"/>
  <c r="G34" i="7"/>
  <c r="H34" i="7"/>
  <c r="I34" i="7"/>
  <c r="J34" i="7"/>
  <c r="K34" i="7"/>
  <c r="L34" i="7"/>
  <c r="M34" i="7"/>
  <c r="N34" i="7"/>
  <c r="B35" i="7"/>
  <c r="C35" i="7"/>
  <c r="O36" i="7"/>
  <c r="B36" i="7"/>
  <c r="P36" i="7"/>
  <c r="C36" i="7"/>
  <c r="E36" i="7"/>
  <c r="F36" i="7"/>
  <c r="G36" i="7"/>
  <c r="H36" i="7"/>
  <c r="I36" i="7"/>
  <c r="J36" i="7"/>
  <c r="K36" i="7"/>
  <c r="L36" i="7"/>
  <c r="M36" i="7"/>
  <c r="N36" i="7"/>
  <c r="O37" i="7"/>
  <c r="B37" i="7"/>
  <c r="P37" i="7"/>
  <c r="C37" i="7"/>
  <c r="E37" i="7"/>
  <c r="F37" i="7"/>
  <c r="G37" i="7"/>
  <c r="H37" i="7"/>
  <c r="I37" i="7"/>
  <c r="J37" i="7"/>
  <c r="K37" i="7"/>
  <c r="L37" i="7"/>
  <c r="M37" i="7"/>
  <c r="N37" i="7"/>
  <c r="O38" i="7"/>
  <c r="B38" i="7"/>
  <c r="P38" i="7"/>
  <c r="C38" i="7"/>
  <c r="E38" i="7"/>
  <c r="F38" i="7"/>
  <c r="G38" i="7"/>
  <c r="H38" i="7"/>
  <c r="I38" i="7"/>
  <c r="J38" i="7"/>
  <c r="K38" i="7"/>
  <c r="L38" i="7"/>
  <c r="M38" i="7"/>
  <c r="N38" i="7"/>
  <c r="B39" i="7"/>
  <c r="C39" i="7"/>
  <c r="O40" i="7"/>
  <c r="B40" i="7"/>
  <c r="P40" i="7"/>
  <c r="C40" i="7"/>
  <c r="E40" i="7"/>
  <c r="F40" i="7"/>
  <c r="G40" i="7"/>
  <c r="H40" i="7"/>
  <c r="I40" i="7"/>
  <c r="J40" i="7"/>
  <c r="K40" i="7"/>
  <c r="L40" i="7"/>
  <c r="M40" i="7"/>
  <c r="N40" i="7"/>
  <c r="O41" i="7"/>
  <c r="B41" i="7"/>
  <c r="P41" i="7"/>
  <c r="C41" i="7"/>
  <c r="E41" i="7"/>
  <c r="F41" i="7"/>
  <c r="G41" i="7"/>
  <c r="H41" i="7"/>
  <c r="I41" i="7"/>
  <c r="J41" i="7"/>
  <c r="K41" i="7"/>
  <c r="L41" i="7"/>
  <c r="M41" i="7"/>
  <c r="N41" i="7"/>
  <c r="B42" i="7"/>
  <c r="C42" i="7"/>
  <c r="B43" i="7"/>
  <c r="C43" i="7"/>
  <c r="O44" i="7"/>
  <c r="B44" i="7"/>
  <c r="P44" i="7"/>
  <c r="C44" i="7"/>
  <c r="E44" i="7"/>
  <c r="F44" i="7"/>
  <c r="G44" i="7"/>
  <c r="H44" i="7"/>
  <c r="I44" i="7"/>
  <c r="J44" i="7"/>
  <c r="K44" i="7"/>
  <c r="L44" i="7"/>
  <c r="M44" i="7"/>
  <c r="N44" i="7"/>
  <c r="O45" i="7"/>
  <c r="B45" i="7"/>
  <c r="P45" i="7"/>
  <c r="C45" i="7"/>
  <c r="E45" i="7"/>
  <c r="F45" i="7"/>
  <c r="G45" i="7"/>
  <c r="H45" i="7"/>
  <c r="I45" i="7"/>
  <c r="J45" i="7"/>
  <c r="K45" i="7"/>
  <c r="L45" i="7"/>
  <c r="M45" i="7"/>
  <c r="N45" i="7"/>
  <c r="B46" i="7"/>
  <c r="C46" i="7"/>
  <c r="B47" i="7"/>
  <c r="C47" i="7"/>
  <c r="B48" i="7"/>
  <c r="C48" i="7"/>
  <c r="O50" i="7"/>
  <c r="B50" i="7"/>
  <c r="P50" i="7"/>
  <c r="C50" i="7"/>
  <c r="E50" i="7"/>
  <c r="F50" i="7"/>
  <c r="G50" i="7"/>
  <c r="H50" i="7"/>
  <c r="I50" i="7"/>
  <c r="J50" i="7"/>
  <c r="K50" i="7"/>
  <c r="L50" i="7"/>
  <c r="M50" i="7"/>
  <c r="N50" i="7"/>
  <c r="B55" i="7"/>
  <c r="C55" i="7"/>
  <c r="E55" i="7"/>
  <c r="F55" i="7"/>
  <c r="G55" i="7"/>
  <c r="H55" i="7"/>
  <c r="I55" i="7"/>
  <c r="J55" i="7"/>
  <c r="K55" i="7"/>
  <c r="L55" i="7"/>
  <c r="M55" i="7"/>
  <c r="N55" i="7"/>
  <c r="O55" i="7"/>
  <c r="P55" i="7"/>
  <c r="B56" i="7"/>
  <c r="C56" i="7"/>
  <c r="E56" i="7"/>
  <c r="F56" i="7"/>
  <c r="G56" i="7"/>
  <c r="H56" i="7"/>
  <c r="I56" i="7"/>
  <c r="J56" i="7"/>
  <c r="K56" i="7"/>
  <c r="L56" i="7"/>
  <c r="M56" i="7"/>
  <c r="N56" i="7"/>
  <c r="O56" i="7"/>
  <c r="P56" i="7"/>
  <c r="E57" i="7"/>
  <c r="F57" i="7"/>
  <c r="G57" i="7"/>
  <c r="H57" i="7"/>
  <c r="I57" i="7"/>
  <c r="J57" i="7"/>
  <c r="K57" i="7"/>
  <c r="L57" i="7"/>
  <c r="M57" i="7"/>
  <c r="N57" i="7"/>
  <c r="O57" i="7"/>
  <c r="P57" i="7"/>
  <c r="E58" i="7"/>
  <c r="F58" i="7"/>
  <c r="G58" i="7"/>
  <c r="H58" i="7"/>
  <c r="I58" i="7"/>
  <c r="J58" i="7"/>
  <c r="K58" i="7"/>
  <c r="L58" i="7"/>
  <c r="M58" i="7"/>
  <c r="N58" i="7"/>
  <c r="O58" i="7"/>
  <c r="P58" i="7"/>
  <c r="E59" i="7"/>
  <c r="F59" i="7"/>
  <c r="G59" i="7"/>
  <c r="H59" i="7"/>
  <c r="I59" i="7"/>
  <c r="J59" i="7"/>
  <c r="K59" i="7"/>
  <c r="L59" i="7"/>
  <c r="M59" i="7"/>
  <c r="N59" i="7"/>
  <c r="O59" i="7"/>
  <c r="P59" i="7"/>
  <c r="B60" i="7"/>
  <c r="C60" i="7"/>
  <c r="E60" i="7"/>
  <c r="F60" i="7"/>
  <c r="G60" i="7"/>
  <c r="H60" i="7"/>
  <c r="I60" i="7"/>
  <c r="J60" i="7"/>
  <c r="K60" i="7"/>
  <c r="L60" i="7"/>
  <c r="M60" i="7"/>
  <c r="N60" i="7"/>
  <c r="O60" i="7"/>
  <c r="P60" i="7"/>
  <c r="B61" i="7"/>
  <c r="C61" i="7"/>
  <c r="E61" i="7"/>
  <c r="F61" i="7"/>
  <c r="G61" i="7"/>
  <c r="H61" i="7"/>
  <c r="I61" i="7"/>
  <c r="J61" i="7"/>
  <c r="K61" i="7"/>
  <c r="L61" i="7"/>
  <c r="M61" i="7"/>
  <c r="N61" i="7"/>
  <c r="O61" i="7"/>
  <c r="P61" i="7"/>
  <c r="B62" i="7"/>
  <c r="C62" i="7"/>
  <c r="E62" i="7"/>
  <c r="F62" i="7"/>
  <c r="G62" i="7"/>
  <c r="H62" i="7"/>
  <c r="I62" i="7"/>
  <c r="J62" i="7"/>
  <c r="K62" i="7"/>
  <c r="L62" i="7"/>
  <c r="M62" i="7"/>
  <c r="N62" i="7"/>
  <c r="O62" i="7"/>
  <c r="P62" i="7"/>
  <c r="B63" i="7"/>
  <c r="C63" i="7"/>
  <c r="E63" i="7"/>
  <c r="F63" i="7"/>
  <c r="G63" i="7"/>
  <c r="H63" i="7"/>
  <c r="I63" i="7"/>
  <c r="J63" i="7"/>
  <c r="K63" i="7"/>
  <c r="L63" i="7"/>
  <c r="M63" i="7"/>
  <c r="N63" i="7"/>
  <c r="O63" i="7"/>
  <c r="P63" i="7"/>
  <c r="B64" i="7"/>
  <c r="C64" i="7"/>
  <c r="E64" i="7"/>
  <c r="F64" i="7"/>
  <c r="G64" i="7"/>
  <c r="H64" i="7"/>
  <c r="I64" i="7"/>
  <c r="J64" i="7"/>
  <c r="K64" i="7"/>
  <c r="L64" i="7"/>
  <c r="M64" i="7"/>
  <c r="N64" i="7"/>
  <c r="O64" i="7"/>
  <c r="P64" i="7"/>
  <c r="E65" i="7"/>
  <c r="F65" i="7"/>
  <c r="G65" i="7"/>
  <c r="H65" i="7"/>
  <c r="I65" i="7"/>
  <c r="J65" i="7"/>
  <c r="K65" i="7"/>
  <c r="L65" i="7"/>
  <c r="M65" i="7"/>
  <c r="N65" i="7"/>
  <c r="O65" i="7"/>
  <c r="P65" i="7"/>
  <c r="B66" i="7"/>
  <c r="C66" i="7"/>
  <c r="E66" i="7"/>
  <c r="F66" i="7"/>
  <c r="G66" i="7"/>
  <c r="H66" i="7"/>
  <c r="I66" i="7"/>
  <c r="J66" i="7"/>
  <c r="K66" i="7"/>
  <c r="L66" i="7"/>
  <c r="M66" i="7"/>
  <c r="N66" i="7"/>
  <c r="O66" i="7"/>
  <c r="P66" i="7"/>
  <c r="B67" i="7"/>
  <c r="C67" i="7"/>
  <c r="E67" i="7"/>
  <c r="F67" i="7"/>
  <c r="G67" i="7"/>
  <c r="H67" i="7"/>
  <c r="I67" i="7"/>
  <c r="J67" i="7"/>
  <c r="K67" i="7"/>
  <c r="L67" i="7"/>
  <c r="M67" i="7"/>
  <c r="N67" i="7"/>
  <c r="O67" i="7"/>
  <c r="P67" i="7"/>
  <c r="E68" i="7"/>
  <c r="F68" i="7"/>
  <c r="G68" i="7"/>
  <c r="H68" i="7"/>
  <c r="I68" i="7"/>
  <c r="J68" i="7"/>
  <c r="K68" i="7"/>
  <c r="L68" i="7"/>
  <c r="M68" i="7"/>
  <c r="N68" i="7"/>
  <c r="O68" i="7"/>
  <c r="P68" i="7"/>
  <c r="E69" i="7"/>
  <c r="F69" i="7"/>
  <c r="G69" i="7"/>
  <c r="H69" i="7"/>
  <c r="I69" i="7"/>
  <c r="J69" i="7"/>
  <c r="K69" i="7"/>
  <c r="L69" i="7"/>
  <c r="M69" i="7"/>
  <c r="N69" i="7"/>
  <c r="O69" i="7"/>
  <c r="P69" i="7"/>
  <c r="B70" i="7"/>
  <c r="C70" i="7"/>
  <c r="E70" i="7"/>
  <c r="F70" i="7"/>
  <c r="G70" i="7"/>
  <c r="H70" i="7"/>
  <c r="I70" i="7"/>
  <c r="J70" i="7"/>
  <c r="K70" i="7"/>
  <c r="L70" i="7"/>
  <c r="M70" i="7"/>
  <c r="N70" i="7"/>
  <c r="O70" i="7"/>
  <c r="P70" i="7"/>
  <c r="B71" i="7"/>
  <c r="C71" i="7"/>
  <c r="E71" i="7"/>
  <c r="F71" i="7"/>
  <c r="G71" i="7"/>
  <c r="H71" i="7"/>
  <c r="I71" i="7"/>
  <c r="J71" i="7"/>
  <c r="K71" i="7"/>
  <c r="L71" i="7"/>
  <c r="M71" i="7"/>
  <c r="N71" i="7"/>
  <c r="O71" i="7"/>
  <c r="P71" i="7"/>
  <c r="E72" i="7"/>
  <c r="F72" i="7"/>
  <c r="G72" i="7"/>
  <c r="H72" i="7"/>
  <c r="I72" i="7"/>
  <c r="J72" i="7"/>
  <c r="K72" i="7"/>
  <c r="L72" i="7"/>
  <c r="M72" i="7"/>
  <c r="N72" i="7"/>
  <c r="O72" i="7"/>
  <c r="P72" i="7"/>
  <c r="E73" i="7"/>
  <c r="F73" i="7"/>
  <c r="G73" i="7"/>
  <c r="H73" i="7"/>
  <c r="I73" i="7"/>
  <c r="J73" i="7"/>
  <c r="K73" i="7"/>
  <c r="L73" i="7"/>
  <c r="M73" i="7"/>
  <c r="N73" i="7"/>
  <c r="O73" i="7"/>
  <c r="P73" i="7"/>
  <c r="B74" i="7"/>
  <c r="C74" i="7"/>
  <c r="E74" i="7"/>
  <c r="F74" i="7"/>
  <c r="G74" i="7"/>
  <c r="H74" i="7"/>
  <c r="I74" i="7"/>
  <c r="J74" i="7"/>
  <c r="K74" i="7"/>
  <c r="L74" i="7"/>
  <c r="M74" i="7"/>
  <c r="N74" i="7"/>
  <c r="O74" i="7"/>
  <c r="P74" i="7"/>
  <c r="B76" i="7"/>
  <c r="C76" i="7"/>
  <c r="E76" i="7"/>
  <c r="F76" i="7"/>
  <c r="G76" i="7"/>
  <c r="H76" i="7"/>
  <c r="I76" i="7"/>
  <c r="J76" i="7"/>
  <c r="K76" i="7"/>
  <c r="L76" i="7"/>
  <c r="M76" i="7"/>
  <c r="N76" i="7"/>
  <c r="O76" i="7"/>
  <c r="P76" i="7"/>
  <c r="B80" i="7"/>
  <c r="C80" i="7"/>
  <c r="Y108" i="7"/>
  <c r="AA108" i="7"/>
  <c r="AC108" i="7"/>
  <c r="Y109" i="7"/>
  <c r="AA109" i="7"/>
  <c r="AC109" i="7"/>
  <c r="Y110" i="7"/>
  <c r="AA110" i="7"/>
  <c r="AC110" i="7"/>
  <c r="Y111" i="7"/>
  <c r="AA111" i="7"/>
  <c r="AC111" i="7"/>
  <c r="Y112" i="7"/>
  <c r="AA112" i="7"/>
  <c r="AC112" i="7"/>
  <c r="Y113" i="7"/>
  <c r="AA113" i="7"/>
  <c r="Y114" i="7"/>
  <c r="AA114" i="7"/>
  <c r="AC114" i="7"/>
  <c r="S100" i="6"/>
  <c r="I121" i="6"/>
  <c r="K121" i="6"/>
  <c r="M121" i="6"/>
  <c r="O121" i="6"/>
  <c r="Q121" i="6"/>
  <c r="S121" i="6"/>
  <c r="S101" i="6"/>
  <c r="I122" i="6"/>
  <c r="K122" i="6"/>
  <c r="M122" i="6"/>
  <c r="O122" i="6"/>
  <c r="Q122" i="6"/>
  <c r="S122" i="6"/>
  <c r="S102" i="6"/>
  <c r="I123" i="6"/>
  <c r="K123" i="6"/>
  <c r="M123" i="6"/>
  <c r="O123" i="6"/>
  <c r="Q123" i="6"/>
  <c r="S123" i="6"/>
  <c r="S103" i="6"/>
  <c r="I124" i="6"/>
  <c r="K124" i="6"/>
  <c r="M124" i="6"/>
  <c r="O124" i="6"/>
  <c r="Q124" i="6"/>
  <c r="S124" i="6"/>
  <c r="S104" i="6"/>
  <c r="I125" i="6"/>
  <c r="K125" i="6"/>
  <c r="M125" i="6"/>
  <c r="O125" i="6"/>
  <c r="Q125" i="6"/>
  <c r="S125" i="6"/>
  <c r="S105" i="6"/>
  <c r="I126" i="6"/>
  <c r="K126" i="6"/>
  <c r="M126" i="6"/>
  <c r="O126" i="6"/>
  <c r="Q126" i="6"/>
  <c r="S126" i="6"/>
  <c r="S106" i="6"/>
  <c r="I127" i="6"/>
  <c r="K127" i="6"/>
  <c r="M127" i="6"/>
  <c r="O127" i="6"/>
  <c r="Q127" i="6"/>
  <c r="S127" i="6"/>
  <c r="S107" i="6"/>
  <c r="I128" i="6"/>
  <c r="K128" i="6"/>
  <c r="M128" i="6"/>
  <c r="O128" i="6"/>
  <c r="Q128" i="6"/>
  <c r="S128" i="6"/>
  <c r="S108" i="6"/>
  <c r="I129" i="6"/>
  <c r="K129" i="6"/>
  <c r="M129" i="6"/>
  <c r="O129" i="6"/>
  <c r="Q129" i="6"/>
  <c r="S129" i="6"/>
  <c r="S109" i="6"/>
  <c r="I130" i="6"/>
  <c r="K130" i="6"/>
  <c r="M130" i="6"/>
  <c r="O130" i="6"/>
  <c r="Q130" i="6"/>
  <c r="S130" i="6"/>
  <c r="S110" i="6"/>
  <c r="I131" i="6"/>
  <c r="K131" i="6"/>
  <c r="M131" i="6"/>
  <c r="O131" i="6"/>
  <c r="Q131" i="6"/>
  <c r="S131" i="6"/>
  <c r="S111" i="6"/>
  <c r="I132" i="6"/>
  <c r="K132" i="6"/>
  <c r="M132" i="6"/>
  <c r="O132" i="6"/>
  <c r="Q132" i="6"/>
  <c r="S132" i="6"/>
  <c r="S112" i="6"/>
  <c r="I133" i="6"/>
  <c r="K133" i="6"/>
  <c r="M133" i="6"/>
  <c r="O133" i="6"/>
  <c r="Q133" i="6"/>
  <c r="S133" i="6"/>
  <c r="S113" i="6"/>
  <c r="I134" i="6"/>
  <c r="K134" i="6"/>
  <c r="M134" i="6"/>
  <c r="O134" i="6"/>
  <c r="Q134" i="6"/>
  <c r="S134" i="6"/>
  <c r="S114" i="6"/>
  <c r="I135" i="6"/>
  <c r="K135" i="6"/>
  <c r="M135" i="6"/>
  <c r="O135" i="6"/>
  <c r="Q135" i="6"/>
  <c r="S135" i="6"/>
  <c r="S136" i="6"/>
  <c r="R100" i="6"/>
  <c r="H121" i="6"/>
  <c r="J121" i="6"/>
  <c r="L121" i="6"/>
  <c r="N121" i="6"/>
  <c r="P121" i="6"/>
  <c r="R121" i="6"/>
  <c r="R101" i="6"/>
  <c r="H122" i="6"/>
  <c r="J122" i="6"/>
  <c r="L122" i="6"/>
  <c r="N122" i="6"/>
  <c r="P122" i="6"/>
  <c r="R122" i="6"/>
  <c r="R102" i="6"/>
  <c r="H123" i="6"/>
  <c r="J123" i="6"/>
  <c r="L123" i="6"/>
  <c r="N123" i="6"/>
  <c r="P123" i="6"/>
  <c r="R123" i="6"/>
  <c r="R103" i="6"/>
  <c r="H124" i="6"/>
  <c r="J124" i="6"/>
  <c r="L124" i="6"/>
  <c r="N124" i="6"/>
  <c r="P124" i="6"/>
  <c r="R124" i="6"/>
  <c r="R104" i="6"/>
  <c r="H125" i="6"/>
  <c r="J125" i="6"/>
  <c r="L125" i="6"/>
  <c r="N125" i="6"/>
  <c r="P125" i="6"/>
  <c r="R125" i="6"/>
  <c r="R105" i="6"/>
  <c r="H126" i="6"/>
  <c r="J126" i="6"/>
  <c r="L126" i="6"/>
  <c r="N126" i="6"/>
  <c r="P126" i="6"/>
  <c r="R126" i="6"/>
  <c r="R106" i="6"/>
  <c r="H127" i="6"/>
  <c r="J127" i="6"/>
  <c r="L127" i="6"/>
  <c r="N127" i="6"/>
  <c r="P127" i="6"/>
  <c r="R127" i="6"/>
  <c r="R107" i="6"/>
  <c r="H128" i="6"/>
  <c r="J128" i="6"/>
  <c r="L128" i="6"/>
  <c r="N128" i="6"/>
  <c r="P128" i="6"/>
  <c r="R128" i="6"/>
  <c r="R108" i="6"/>
  <c r="H129" i="6"/>
  <c r="J129" i="6"/>
  <c r="L129" i="6"/>
  <c r="N129" i="6"/>
  <c r="P129" i="6"/>
  <c r="R129" i="6"/>
  <c r="R109" i="6"/>
  <c r="H130" i="6"/>
  <c r="J130" i="6"/>
  <c r="L130" i="6"/>
  <c r="N130" i="6"/>
  <c r="P130" i="6"/>
  <c r="R130" i="6"/>
  <c r="R110" i="6"/>
  <c r="H131" i="6"/>
  <c r="J131" i="6"/>
  <c r="L131" i="6"/>
  <c r="N131" i="6"/>
  <c r="P131" i="6"/>
  <c r="R131" i="6"/>
  <c r="R111" i="6"/>
  <c r="H132" i="6"/>
  <c r="J132" i="6"/>
  <c r="L132" i="6"/>
  <c r="N132" i="6"/>
  <c r="P132" i="6"/>
  <c r="R132" i="6"/>
  <c r="R112" i="6"/>
  <c r="H133" i="6"/>
  <c r="J133" i="6"/>
  <c r="L133" i="6"/>
  <c r="N133" i="6"/>
  <c r="P133" i="6"/>
  <c r="R133" i="6"/>
  <c r="R113" i="6"/>
  <c r="H134" i="6"/>
  <c r="J134" i="6"/>
  <c r="L134" i="6"/>
  <c r="N134" i="6"/>
  <c r="P134" i="6"/>
  <c r="R134" i="6"/>
  <c r="R114" i="6"/>
  <c r="H135" i="6"/>
  <c r="J135" i="6"/>
  <c r="L135" i="6"/>
  <c r="N135" i="6"/>
  <c r="P135" i="6"/>
  <c r="R135" i="6"/>
  <c r="R136" i="6"/>
  <c r="Q136" i="6"/>
  <c r="P136" i="6"/>
  <c r="O136" i="6"/>
  <c r="N136" i="6"/>
  <c r="M136" i="6"/>
  <c r="L136" i="6"/>
  <c r="K136" i="6"/>
  <c r="J136" i="6"/>
  <c r="I136" i="6"/>
  <c r="H136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Q57" i="6"/>
  <c r="O57" i="6"/>
  <c r="G57" i="6"/>
  <c r="I78" i="6"/>
  <c r="K78" i="6"/>
  <c r="M78" i="6"/>
  <c r="O78" i="6"/>
  <c r="Q78" i="6"/>
  <c r="S78" i="6"/>
  <c r="Q58" i="6"/>
  <c r="M58" i="6"/>
  <c r="G58" i="6"/>
  <c r="I79" i="6"/>
  <c r="K79" i="6"/>
  <c r="M79" i="6"/>
  <c r="O79" i="6"/>
  <c r="Q79" i="6"/>
  <c r="S79" i="6"/>
  <c r="S59" i="6"/>
  <c r="Q59" i="6"/>
  <c r="O59" i="6"/>
  <c r="I80" i="6"/>
  <c r="K80" i="6"/>
  <c r="M80" i="6"/>
  <c r="O80" i="6"/>
  <c r="Q80" i="6"/>
  <c r="S80" i="6"/>
  <c r="I81" i="6"/>
  <c r="K81" i="6"/>
  <c r="M81" i="6"/>
  <c r="O81" i="6"/>
  <c r="Q81" i="6"/>
  <c r="S81" i="6"/>
  <c r="O61" i="6"/>
  <c r="I82" i="6"/>
  <c r="K82" i="6"/>
  <c r="M82" i="6"/>
  <c r="O82" i="6"/>
  <c r="Q82" i="6"/>
  <c r="S82" i="6"/>
  <c r="I83" i="6"/>
  <c r="K83" i="6"/>
  <c r="M83" i="6"/>
  <c r="O83" i="6"/>
  <c r="Q83" i="6"/>
  <c r="S83" i="6"/>
  <c r="I84" i="6"/>
  <c r="K84" i="6"/>
  <c r="M84" i="6"/>
  <c r="O84" i="6"/>
  <c r="Q84" i="6"/>
  <c r="S84" i="6"/>
  <c r="O64" i="6"/>
  <c r="I85" i="6"/>
  <c r="K85" i="6"/>
  <c r="M85" i="6"/>
  <c r="O85" i="6"/>
  <c r="Q85" i="6"/>
  <c r="S85" i="6"/>
  <c r="Q65" i="6"/>
  <c r="I86" i="6"/>
  <c r="K86" i="6"/>
  <c r="M86" i="6"/>
  <c r="O86" i="6"/>
  <c r="Q86" i="6"/>
  <c r="S86" i="6"/>
  <c r="I87" i="6"/>
  <c r="K87" i="6"/>
  <c r="M87" i="6"/>
  <c r="O87" i="6"/>
  <c r="Q87" i="6"/>
  <c r="S87" i="6"/>
  <c r="S67" i="6"/>
  <c r="Q67" i="6"/>
  <c r="I88" i="6"/>
  <c r="K88" i="6"/>
  <c r="M88" i="6"/>
  <c r="O88" i="6"/>
  <c r="Q88" i="6"/>
  <c r="S88" i="6"/>
  <c r="S68" i="6"/>
  <c r="Q68" i="6"/>
  <c r="I89" i="6"/>
  <c r="K89" i="6"/>
  <c r="M89" i="6"/>
  <c r="O89" i="6"/>
  <c r="Q89" i="6"/>
  <c r="S89" i="6"/>
  <c r="O69" i="6"/>
  <c r="I90" i="6"/>
  <c r="K90" i="6"/>
  <c r="M90" i="6"/>
  <c r="O90" i="6"/>
  <c r="Q90" i="6"/>
  <c r="S90" i="6"/>
  <c r="I91" i="6"/>
  <c r="K91" i="6"/>
  <c r="M91" i="6"/>
  <c r="O91" i="6"/>
  <c r="Q91" i="6"/>
  <c r="S91" i="6"/>
  <c r="S71" i="6"/>
  <c r="Q71" i="6"/>
  <c r="O71" i="6"/>
  <c r="I92" i="6"/>
  <c r="K92" i="6"/>
  <c r="M92" i="6"/>
  <c r="O92" i="6"/>
  <c r="Q92" i="6"/>
  <c r="S92" i="6"/>
  <c r="S93" i="6"/>
  <c r="R57" i="6"/>
  <c r="P57" i="6"/>
  <c r="N57" i="6"/>
  <c r="L57" i="6"/>
  <c r="F57" i="6"/>
  <c r="H78" i="6"/>
  <c r="J78" i="6"/>
  <c r="L78" i="6"/>
  <c r="N78" i="6"/>
  <c r="P78" i="6"/>
  <c r="R78" i="6"/>
  <c r="R58" i="6"/>
  <c r="P58" i="6"/>
  <c r="N58" i="6"/>
  <c r="L58" i="6"/>
  <c r="F58" i="6"/>
  <c r="H79" i="6"/>
  <c r="J79" i="6"/>
  <c r="L79" i="6"/>
  <c r="N79" i="6"/>
  <c r="P79" i="6"/>
  <c r="R79" i="6"/>
  <c r="R59" i="6"/>
  <c r="P59" i="6"/>
  <c r="N59" i="6"/>
  <c r="H80" i="6"/>
  <c r="J80" i="6"/>
  <c r="L80" i="6"/>
  <c r="N80" i="6"/>
  <c r="P80" i="6"/>
  <c r="R80" i="6"/>
  <c r="R60" i="6"/>
  <c r="P60" i="6"/>
  <c r="N60" i="6"/>
  <c r="F60" i="6"/>
  <c r="H81" i="6"/>
  <c r="J81" i="6"/>
  <c r="L81" i="6"/>
  <c r="N81" i="6"/>
  <c r="P81" i="6"/>
  <c r="R81" i="6"/>
  <c r="R61" i="6"/>
  <c r="P61" i="6"/>
  <c r="N61" i="6"/>
  <c r="F61" i="6"/>
  <c r="H82" i="6"/>
  <c r="J82" i="6"/>
  <c r="L82" i="6"/>
  <c r="N82" i="6"/>
  <c r="P82" i="6"/>
  <c r="R82" i="6"/>
  <c r="R62" i="6"/>
  <c r="P62" i="6"/>
  <c r="N62" i="6"/>
  <c r="F62" i="6"/>
  <c r="H83" i="6"/>
  <c r="J83" i="6"/>
  <c r="L83" i="6"/>
  <c r="N83" i="6"/>
  <c r="P83" i="6"/>
  <c r="R83" i="6"/>
  <c r="R63" i="6"/>
  <c r="P63" i="6"/>
  <c r="N63" i="6"/>
  <c r="F63" i="6"/>
  <c r="H84" i="6"/>
  <c r="J84" i="6"/>
  <c r="L84" i="6"/>
  <c r="N84" i="6"/>
  <c r="P84" i="6"/>
  <c r="R84" i="6"/>
  <c r="R64" i="6"/>
  <c r="P64" i="6"/>
  <c r="N64" i="6"/>
  <c r="F64" i="6"/>
  <c r="H85" i="6"/>
  <c r="J85" i="6"/>
  <c r="L85" i="6"/>
  <c r="N85" i="6"/>
  <c r="P85" i="6"/>
  <c r="R85" i="6"/>
  <c r="R65" i="6"/>
  <c r="P65" i="6"/>
  <c r="N65" i="6"/>
  <c r="F65" i="6"/>
  <c r="H86" i="6"/>
  <c r="J86" i="6"/>
  <c r="L86" i="6"/>
  <c r="N86" i="6"/>
  <c r="P86" i="6"/>
  <c r="R86" i="6"/>
  <c r="R66" i="6"/>
  <c r="P66" i="6"/>
  <c r="N66" i="6"/>
  <c r="F66" i="6"/>
  <c r="H87" i="6"/>
  <c r="J87" i="6"/>
  <c r="L87" i="6"/>
  <c r="N87" i="6"/>
  <c r="P87" i="6"/>
  <c r="R87" i="6"/>
  <c r="R67" i="6"/>
  <c r="P67" i="6"/>
  <c r="N67" i="6"/>
  <c r="F67" i="6"/>
  <c r="H88" i="6"/>
  <c r="J88" i="6"/>
  <c r="L88" i="6"/>
  <c r="N88" i="6"/>
  <c r="P88" i="6"/>
  <c r="R88" i="6"/>
  <c r="R68" i="6"/>
  <c r="P68" i="6"/>
  <c r="N68" i="6"/>
  <c r="F68" i="6"/>
  <c r="H89" i="6"/>
  <c r="J89" i="6"/>
  <c r="L89" i="6"/>
  <c r="N89" i="6"/>
  <c r="P89" i="6"/>
  <c r="R89" i="6"/>
  <c r="R69" i="6"/>
  <c r="P69" i="6"/>
  <c r="N69" i="6"/>
  <c r="F69" i="6"/>
  <c r="H90" i="6"/>
  <c r="J90" i="6"/>
  <c r="L90" i="6"/>
  <c r="N90" i="6"/>
  <c r="P90" i="6"/>
  <c r="R90" i="6"/>
  <c r="R70" i="6"/>
  <c r="P70" i="6"/>
  <c r="N70" i="6"/>
  <c r="F70" i="6"/>
  <c r="H91" i="6"/>
  <c r="J91" i="6"/>
  <c r="L91" i="6"/>
  <c r="N91" i="6"/>
  <c r="P91" i="6"/>
  <c r="R91" i="6"/>
  <c r="R71" i="6"/>
  <c r="P71" i="6"/>
  <c r="N71" i="6"/>
  <c r="F71" i="6"/>
  <c r="H92" i="6"/>
  <c r="J92" i="6"/>
  <c r="L92" i="6"/>
  <c r="N92" i="6"/>
  <c r="P92" i="6"/>
  <c r="R92" i="6"/>
  <c r="R93" i="6"/>
  <c r="Q93" i="6"/>
  <c r="P93" i="6"/>
  <c r="O93" i="6"/>
  <c r="N93" i="6"/>
  <c r="M93" i="6"/>
  <c r="L93" i="6"/>
  <c r="K93" i="6"/>
  <c r="J93" i="6"/>
  <c r="I93" i="6"/>
  <c r="H93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Q14" i="6"/>
  <c r="O14" i="6"/>
  <c r="E14" i="6"/>
  <c r="C14" i="6"/>
  <c r="E35" i="6"/>
  <c r="G35" i="6"/>
  <c r="I35" i="6"/>
  <c r="K35" i="6"/>
  <c r="M35" i="6"/>
  <c r="O35" i="6"/>
  <c r="Q35" i="6"/>
  <c r="Q15" i="6"/>
  <c r="O15" i="6"/>
  <c r="E15" i="6"/>
  <c r="C15" i="6"/>
  <c r="E36" i="6"/>
  <c r="G36" i="6"/>
  <c r="I36" i="6"/>
  <c r="K36" i="6"/>
  <c r="M36" i="6"/>
  <c r="O36" i="6"/>
  <c r="Q36" i="6"/>
  <c r="Q16" i="6"/>
  <c r="O16" i="6"/>
  <c r="E16" i="6"/>
  <c r="C16" i="6"/>
  <c r="E37" i="6"/>
  <c r="G37" i="6"/>
  <c r="I37" i="6"/>
  <c r="K37" i="6"/>
  <c r="M37" i="6"/>
  <c r="O37" i="6"/>
  <c r="Q37" i="6"/>
  <c r="Q17" i="6"/>
  <c r="O17" i="6"/>
  <c r="E17" i="6"/>
  <c r="C17" i="6"/>
  <c r="E38" i="6"/>
  <c r="G38" i="6"/>
  <c r="I38" i="6"/>
  <c r="K38" i="6"/>
  <c r="M38" i="6"/>
  <c r="O38" i="6"/>
  <c r="Q38" i="6"/>
  <c r="Q18" i="6"/>
  <c r="O18" i="6"/>
  <c r="E18" i="6"/>
  <c r="C18" i="6"/>
  <c r="E39" i="6"/>
  <c r="G39" i="6"/>
  <c r="I39" i="6"/>
  <c r="K39" i="6"/>
  <c r="M39" i="6"/>
  <c r="O39" i="6"/>
  <c r="Q39" i="6"/>
  <c r="Q19" i="6"/>
  <c r="O19" i="6"/>
  <c r="E19" i="6"/>
  <c r="C19" i="6"/>
  <c r="E40" i="6"/>
  <c r="G40" i="6"/>
  <c r="I40" i="6"/>
  <c r="K40" i="6"/>
  <c r="M40" i="6"/>
  <c r="O40" i="6"/>
  <c r="Q40" i="6"/>
  <c r="Q20" i="6"/>
  <c r="O20" i="6"/>
  <c r="E20" i="6"/>
  <c r="C20" i="6"/>
  <c r="E41" i="6"/>
  <c r="G41" i="6"/>
  <c r="I41" i="6"/>
  <c r="K41" i="6"/>
  <c r="M41" i="6"/>
  <c r="O41" i="6"/>
  <c r="Q41" i="6"/>
  <c r="Q21" i="6"/>
  <c r="O21" i="6"/>
  <c r="E21" i="6"/>
  <c r="C21" i="6"/>
  <c r="E42" i="6"/>
  <c r="G42" i="6"/>
  <c r="I42" i="6"/>
  <c r="K42" i="6"/>
  <c r="M42" i="6"/>
  <c r="O42" i="6"/>
  <c r="Q42" i="6"/>
  <c r="Q22" i="6"/>
  <c r="O22" i="6"/>
  <c r="E22" i="6"/>
  <c r="C22" i="6"/>
  <c r="E43" i="6"/>
  <c r="G43" i="6"/>
  <c r="I43" i="6"/>
  <c r="K43" i="6"/>
  <c r="M43" i="6"/>
  <c r="O43" i="6"/>
  <c r="Q43" i="6"/>
  <c r="Q23" i="6"/>
  <c r="O23" i="6"/>
  <c r="E23" i="6"/>
  <c r="C23" i="6"/>
  <c r="E44" i="6"/>
  <c r="G44" i="6"/>
  <c r="I44" i="6"/>
  <c r="K44" i="6"/>
  <c r="M44" i="6"/>
  <c r="O44" i="6"/>
  <c r="Q44" i="6"/>
  <c r="Q24" i="6"/>
  <c r="O24" i="6"/>
  <c r="E24" i="6"/>
  <c r="C24" i="6"/>
  <c r="E45" i="6"/>
  <c r="G45" i="6"/>
  <c r="I45" i="6"/>
  <c r="K45" i="6"/>
  <c r="M45" i="6"/>
  <c r="O45" i="6"/>
  <c r="Q45" i="6"/>
  <c r="Q25" i="6"/>
  <c r="O25" i="6"/>
  <c r="E25" i="6"/>
  <c r="C25" i="6"/>
  <c r="E46" i="6"/>
  <c r="G46" i="6"/>
  <c r="I46" i="6"/>
  <c r="K46" i="6"/>
  <c r="M46" i="6"/>
  <c r="O46" i="6"/>
  <c r="Q46" i="6"/>
  <c r="Q26" i="6"/>
  <c r="O26" i="6"/>
  <c r="E26" i="6"/>
  <c r="C26" i="6"/>
  <c r="E47" i="6"/>
  <c r="G47" i="6"/>
  <c r="I47" i="6"/>
  <c r="K47" i="6"/>
  <c r="M47" i="6"/>
  <c r="O47" i="6"/>
  <c r="Q47" i="6"/>
  <c r="Q27" i="6"/>
  <c r="O27" i="6"/>
  <c r="E27" i="6"/>
  <c r="C27" i="6"/>
  <c r="E48" i="6"/>
  <c r="G48" i="6"/>
  <c r="I48" i="6"/>
  <c r="K48" i="6"/>
  <c r="M48" i="6"/>
  <c r="O48" i="6"/>
  <c r="Q48" i="6"/>
  <c r="Q28" i="6"/>
  <c r="O28" i="6"/>
  <c r="E28" i="6"/>
  <c r="C28" i="6"/>
  <c r="E49" i="6"/>
  <c r="G49" i="6"/>
  <c r="I49" i="6"/>
  <c r="K49" i="6"/>
  <c r="M49" i="6"/>
  <c r="O49" i="6"/>
  <c r="Q49" i="6"/>
  <c r="Q50" i="6"/>
  <c r="P14" i="6"/>
  <c r="N14" i="6"/>
  <c r="D14" i="6"/>
  <c r="B14" i="6"/>
  <c r="D35" i="6"/>
  <c r="F35" i="6"/>
  <c r="H35" i="6"/>
  <c r="J35" i="6"/>
  <c r="L35" i="6"/>
  <c r="N35" i="6"/>
  <c r="P35" i="6"/>
  <c r="P15" i="6"/>
  <c r="N15" i="6"/>
  <c r="D15" i="6"/>
  <c r="B15" i="6"/>
  <c r="D36" i="6"/>
  <c r="F36" i="6"/>
  <c r="H36" i="6"/>
  <c r="J36" i="6"/>
  <c r="L36" i="6"/>
  <c r="N36" i="6"/>
  <c r="P36" i="6"/>
  <c r="P16" i="6"/>
  <c r="N16" i="6"/>
  <c r="D16" i="6"/>
  <c r="B16" i="6"/>
  <c r="D37" i="6"/>
  <c r="F37" i="6"/>
  <c r="H37" i="6"/>
  <c r="J37" i="6"/>
  <c r="L37" i="6"/>
  <c r="N37" i="6"/>
  <c r="P37" i="6"/>
  <c r="P17" i="6"/>
  <c r="N17" i="6"/>
  <c r="D17" i="6"/>
  <c r="B17" i="6"/>
  <c r="D38" i="6"/>
  <c r="F38" i="6"/>
  <c r="H38" i="6"/>
  <c r="J38" i="6"/>
  <c r="L38" i="6"/>
  <c r="N38" i="6"/>
  <c r="P38" i="6"/>
  <c r="P18" i="6"/>
  <c r="N18" i="6"/>
  <c r="D18" i="6"/>
  <c r="B18" i="6"/>
  <c r="D39" i="6"/>
  <c r="F39" i="6"/>
  <c r="H39" i="6"/>
  <c r="J39" i="6"/>
  <c r="L39" i="6"/>
  <c r="N39" i="6"/>
  <c r="P39" i="6"/>
  <c r="P19" i="6"/>
  <c r="N19" i="6"/>
  <c r="D19" i="6"/>
  <c r="B19" i="6"/>
  <c r="D40" i="6"/>
  <c r="F40" i="6"/>
  <c r="H40" i="6"/>
  <c r="J40" i="6"/>
  <c r="L40" i="6"/>
  <c r="N40" i="6"/>
  <c r="P40" i="6"/>
  <c r="P20" i="6"/>
  <c r="N20" i="6"/>
  <c r="D20" i="6"/>
  <c r="B20" i="6"/>
  <c r="D41" i="6"/>
  <c r="F41" i="6"/>
  <c r="H41" i="6"/>
  <c r="J41" i="6"/>
  <c r="L41" i="6"/>
  <c r="N41" i="6"/>
  <c r="P41" i="6"/>
  <c r="P21" i="6"/>
  <c r="N21" i="6"/>
  <c r="D21" i="6"/>
  <c r="B21" i="6"/>
  <c r="D42" i="6"/>
  <c r="F42" i="6"/>
  <c r="H42" i="6"/>
  <c r="J42" i="6"/>
  <c r="L42" i="6"/>
  <c r="N42" i="6"/>
  <c r="P42" i="6"/>
  <c r="P22" i="6"/>
  <c r="N22" i="6"/>
  <c r="D22" i="6"/>
  <c r="B22" i="6"/>
  <c r="D43" i="6"/>
  <c r="F43" i="6"/>
  <c r="H43" i="6"/>
  <c r="J43" i="6"/>
  <c r="L43" i="6"/>
  <c r="N43" i="6"/>
  <c r="P43" i="6"/>
  <c r="P23" i="6"/>
  <c r="N23" i="6"/>
  <c r="D23" i="6"/>
  <c r="B23" i="6"/>
  <c r="D44" i="6"/>
  <c r="F44" i="6"/>
  <c r="H44" i="6"/>
  <c r="J44" i="6"/>
  <c r="L44" i="6"/>
  <c r="N44" i="6"/>
  <c r="P44" i="6"/>
  <c r="P24" i="6"/>
  <c r="N24" i="6"/>
  <c r="D24" i="6"/>
  <c r="B24" i="6"/>
  <c r="D45" i="6"/>
  <c r="F45" i="6"/>
  <c r="H45" i="6"/>
  <c r="J45" i="6"/>
  <c r="L45" i="6"/>
  <c r="N45" i="6"/>
  <c r="P45" i="6"/>
  <c r="P25" i="6"/>
  <c r="N25" i="6"/>
  <c r="D25" i="6"/>
  <c r="B25" i="6"/>
  <c r="D46" i="6"/>
  <c r="F46" i="6"/>
  <c r="H46" i="6"/>
  <c r="J46" i="6"/>
  <c r="L46" i="6"/>
  <c r="N46" i="6"/>
  <c r="P46" i="6"/>
  <c r="P26" i="6"/>
  <c r="N26" i="6"/>
  <c r="D26" i="6"/>
  <c r="B26" i="6"/>
  <c r="D47" i="6"/>
  <c r="F47" i="6"/>
  <c r="H47" i="6"/>
  <c r="J47" i="6"/>
  <c r="L47" i="6"/>
  <c r="N47" i="6"/>
  <c r="P47" i="6"/>
  <c r="P27" i="6"/>
  <c r="N27" i="6"/>
  <c r="D27" i="6"/>
  <c r="B27" i="6"/>
  <c r="D48" i="6"/>
  <c r="F48" i="6"/>
  <c r="H48" i="6"/>
  <c r="J48" i="6"/>
  <c r="L48" i="6"/>
  <c r="N48" i="6"/>
  <c r="P48" i="6"/>
  <c r="P28" i="6"/>
  <c r="N28" i="6"/>
  <c r="D28" i="6"/>
  <c r="B28" i="6"/>
  <c r="D49" i="6"/>
  <c r="F49" i="6"/>
  <c r="H49" i="6"/>
  <c r="J49" i="6"/>
  <c r="L49" i="6"/>
  <c r="N49" i="6"/>
  <c r="P49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B4" i="6"/>
  <c r="B3" i="6"/>
  <c r="O57" i="5"/>
  <c r="M57" i="5"/>
  <c r="K57" i="5"/>
  <c r="I57" i="5"/>
  <c r="G57" i="5"/>
  <c r="E57" i="5"/>
  <c r="C57" i="5"/>
  <c r="E67" i="5"/>
  <c r="G67" i="5"/>
  <c r="I67" i="5"/>
  <c r="K67" i="5"/>
  <c r="M67" i="5"/>
  <c r="O67" i="5"/>
  <c r="O58" i="5"/>
  <c r="M58" i="5"/>
  <c r="K58" i="5"/>
  <c r="I58" i="5"/>
  <c r="G58" i="5"/>
  <c r="E58" i="5"/>
  <c r="C58" i="5"/>
  <c r="E68" i="5"/>
  <c r="G68" i="5"/>
  <c r="I68" i="5"/>
  <c r="K68" i="5"/>
  <c r="M68" i="5"/>
  <c r="O68" i="5"/>
  <c r="O59" i="5"/>
  <c r="M59" i="5"/>
  <c r="K59" i="5"/>
  <c r="I59" i="5"/>
  <c r="G59" i="5"/>
  <c r="E59" i="5"/>
  <c r="C59" i="5"/>
  <c r="E69" i="5"/>
  <c r="G69" i="5"/>
  <c r="I69" i="5"/>
  <c r="K69" i="5"/>
  <c r="M69" i="5"/>
  <c r="O69" i="5"/>
  <c r="M60" i="5"/>
  <c r="K60" i="5"/>
  <c r="I60" i="5"/>
  <c r="G60" i="5"/>
  <c r="E60" i="5"/>
  <c r="C60" i="5"/>
  <c r="E70" i="5"/>
  <c r="G70" i="5"/>
  <c r="I70" i="5"/>
  <c r="K70" i="5"/>
  <c r="M70" i="5"/>
  <c r="O70" i="5"/>
  <c r="O71" i="5"/>
  <c r="N57" i="5"/>
  <c r="L57" i="5"/>
  <c r="J57" i="5"/>
  <c r="H57" i="5"/>
  <c r="F57" i="5"/>
  <c r="D57" i="5"/>
  <c r="B57" i="5"/>
  <c r="D67" i="5"/>
  <c r="F67" i="5"/>
  <c r="H67" i="5"/>
  <c r="J67" i="5"/>
  <c r="L67" i="5"/>
  <c r="N67" i="5"/>
  <c r="N58" i="5"/>
  <c r="L58" i="5"/>
  <c r="J58" i="5"/>
  <c r="H58" i="5"/>
  <c r="F58" i="5"/>
  <c r="D58" i="5"/>
  <c r="B58" i="5"/>
  <c r="D68" i="5"/>
  <c r="F68" i="5"/>
  <c r="H68" i="5"/>
  <c r="J68" i="5"/>
  <c r="L68" i="5"/>
  <c r="N68" i="5"/>
  <c r="N59" i="5"/>
  <c r="L59" i="5"/>
  <c r="J59" i="5"/>
  <c r="H59" i="5"/>
  <c r="F59" i="5"/>
  <c r="D59" i="5"/>
  <c r="B59" i="5"/>
  <c r="D69" i="5"/>
  <c r="F69" i="5"/>
  <c r="H69" i="5"/>
  <c r="J69" i="5"/>
  <c r="L69" i="5"/>
  <c r="N69" i="5"/>
  <c r="L60" i="5"/>
  <c r="J60" i="5"/>
  <c r="H60" i="5"/>
  <c r="F60" i="5"/>
  <c r="D60" i="5"/>
  <c r="B60" i="5"/>
  <c r="D70" i="5"/>
  <c r="F70" i="5"/>
  <c r="H70" i="5"/>
  <c r="J70" i="5"/>
  <c r="L70" i="5"/>
  <c r="N70" i="5"/>
  <c r="N71" i="5"/>
  <c r="M71" i="5"/>
  <c r="L71" i="5"/>
  <c r="K71" i="5"/>
  <c r="J71" i="5"/>
  <c r="I71" i="5"/>
  <c r="H71" i="5"/>
  <c r="G71" i="5"/>
  <c r="F71" i="5"/>
  <c r="E71" i="5"/>
  <c r="D7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O36" i="5"/>
  <c r="M36" i="5"/>
  <c r="K36" i="5"/>
  <c r="I36" i="5"/>
  <c r="G36" i="5"/>
  <c r="E36" i="5"/>
  <c r="C36" i="5"/>
  <c r="E46" i="5"/>
  <c r="G46" i="5"/>
  <c r="I46" i="5"/>
  <c r="K46" i="5"/>
  <c r="M46" i="5"/>
  <c r="O46" i="5"/>
  <c r="O37" i="5"/>
  <c r="M37" i="5"/>
  <c r="K37" i="5"/>
  <c r="I37" i="5"/>
  <c r="G37" i="5"/>
  <c r="E37" i="5"/>
  <c r="C37" i="5"/>
  <c r="E47" i="5"/>
  <c r="G47" i="5"/>
  <c r="I47" i="5"/>
  <c r="K47" i="5"/>
  <c r="M47" i="5"/>
  <c r="O47" i="5"/>
  <c r="O38" i="5"/>
  <c r="M38" i="5"/>
  <c r="K38" i="5"/>
  <c r="I38" i="5"/>
  <c r="G38" i="5"/>
  <c r="E38" i="5"/>
  <c r="C38" i="5"/>
  <c r="E48" i="5"/>
  <c r="G48" i="5"/>
  <c r="I48" i="5"/>
  <c r="K48" i="5"/>
  <c r="M48" i="5"/>
  <c r="O48" i="5"/>
  <c r="O39" i="5"/>
  <c r="M39" i="5"/>
  <c r="K39" i="5"/>
  <c r="I39" i="5"/>
  <c r="G39" i="5"/>
  <c r="E39" i="5"/>
  <c r="C39" i="5"/>
  <c r="E49" i="5"/>
  <c r="G49" i="5"/>
  <c r="I49" i="5"/>
  <c r="K49" i="5"/>
  <c r="M49" i="5"/>
  <c r="O49" i="5"/>
  <c r="O50" i="5"/>
  <c r="N36" i="5"/>
  <c r="L36" i="5"/>
  <c r="J36" i="5"/>
  <c r="H36" i="5"/>
  <c r="F36" i="5"/>
  <c r="D36" i="5"/>
  <c r="B36" i="5"/>
  <c r="D46" i="5"/>
  <c r="F46" i="5"/>
  <c r="H46" i="5"/>
  <c r="J46" i="5"/>
  <c r="L46" i="5"/>
  <c r="N46" i="5"/>
  <c r="N37" i="5"/>
  <c r="L37" i="5"/>
  <c r="J37" i="5"/>
  <c r="H37" i="5"/>
  <c r="F37" i="5"/>
  <c r="D37" i="5"/>
  <c r="B37" i="5"/>
  <c r="D47" i="5"/>
  <c r="F47" i="5"/>
  <c r="H47" i="5"/>
  <c r="J47" i="5"/>
  <c r="L47" i="5"/>
  <c r="N47" i="5"/>
  <c r="N38" i="5"/>
  <c r="L38" i="5"/>
  <c r="J38" i="5"/>
  <c r="H38" i="5"/>
  <c r="F38" i="5"/>
  <c r="D38" i="5"/>
  <c r="B38" i="5"/>
  <c r="D48" i="5"/>
  <c r="F48" i="5"/>
  <c r="H48" i="5"/>
  <c r="J48" i="5"/>
  <c r="L48" i="5"/>
  <c r="N48" i="5"/>
  <c r="N39" i="5"/>
  <c r="L39" i="5"/>
  <c r="J39" i="5"/>
  <c r="H39" i="5"/>
  <c r="F39" i="5"/>
  <c r="D39" i="5"/>
  <c r="B39" i="5"/>
  <c r="D49" i="5"/>
  <c r="F49" i="5"/>
  <c r="H49" i="5"/>
  <c r="J49" i="5"/>
  <c r="L49" i="5"/>
  <c r="N49" i="5"/>
  <c r="N50" i="5"/>
  <c r="M50" i="5"/>
  <c r="L50" i="5"/>
  <c r="K50" i="5"/>
  <c r="J50" i="5"/>
  <c r="I50" i="5"/>
  <c r="H50" i="5"/>
  <c r="G50" i="5"/>
  <c r="F50" i="5"/>
  <c r="E50" i="5"/>
  <c r="D5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Q15" i="5"/>
  <c r="O15" i="5"/>
  <c r="M15" i="5"/>
  <c r="K15" i="5"/>
  <c r="I15" i="5"/>
  <c r="G15" i="5"/>
  <c r="E15" i="5"/>
  <c r="C15" i="5"/>
  <c r="E25" i="5"/>
  <c r="G25" i="5"/>
  <c r="I25" i="5"/>
  <c r="K25" i="5"/>
  <c r="M25" i="5"/>
  <c r="O25" i="5"/>
  <c r="Q25" i="5"/>
  <c r="Q16" i="5"/>
  <c r="O16" i="5"/>
  <c r="M16" i="5"/>
  <c r="K16" i="5"/>
  <c r="I16" i="5"/>
  <c r="G16" i="5"/>
  <c r="E16" i="5"/>
  <c r="C16" i="5"/>
  <c r="E26" i="5"/>
  <c r="G26" i="5"/>
  <c r="I26" i="5"/>
  <c r="K26" i="5"/>
  <c r="M26" i="5"/>
  <c r="O26" i="5"/>
  <c r="Q26" i="5"/>
  <c r="Q17" i="5"/>
  <c r="O17" i="5"/>
  <c r="M17" i="5"/>
  <c r="K17" i="5"/>
  <c r="I17" i="5"/>
  <c r="G17" i="5"/>
  <c r="E17" i="5"/>
  <c r="C17" i="5"/>
  <c r="E27" i="5"/>
  <c r="G27" i="5"/>
  <c r="I27" i="5"/>
  <c r="K27" i="5"/>
  <c r="M27" i="5"/>
  <c r="O27" i="5"/>
  <c r="Q27" i="5"/>
  <c r="Q18" i="5"/>
  <c r="O18" i="5"/>
  <c r="M18" i="5"/>
  <c r="K18" i="5"/>
  <c r="I18" i="5"/>
  <c r="G18" i="5"/>
  <c r="E18" i="5"/>
  <c r="C18" i="5"/>
  <c r="E28" i="5"/>
  <c r="G28" i="5"/>
  <c r="I28" i="5"/>
  <c r="K28" i="5"/>
  <c r="M28" i="5"/>
  <c r="O28" i="5"/>
  <c r="Q28" i="5"/>
  <c r="Q29" i="5"/>
  <c r="P15" i="5"/>
  <c r="N15" i="5"/>
  <c r="L15" i="5"/>
  <c r="J15" i="5"/>
  <c r="H15" i="5"/>
  <c r="F15" i="5"/>
  <c r="D15" i="5"/>
  <c r="B15" i="5"/>
  <c r="D25" i="5"/>
  <c r="F25" i="5"/>
  <c r="H25" i="5"/>
  <c r="J25" i="5"/>
  <c r="L25" i="5"/>
  <c r="N25" i="5"/>
  <c r="P25" i="5"/>
  <c r="P16" i="5"/>
  <c r="N16" i="5"/>
  <c r="L16" i="5"/>
  <c r="J16" i="5"/>
  <c r="H16" i="5"/>
  <c r="F16" i="5"/>
  <c r="D16" i="5"/>
  <c r="B16" i="5"/>
  <c r="D26" i="5"/>
  <c r="F26" i="5"/>
  <c r="H26" i="5"/>
  <c r="J26" i="5"/>
  <c r="L26" i="5"/>
  <c r="N26" i="5"/>
  <c r="P26" i="5"/>
  <c r="P17" i="5"/>
  <c r="N17" i="5"/>
  <c r="L17" i="5"/>
  <c r="J17" i="5"/>
  <c r="H17" i="5"/>
  <c r="F17" i="5"/>
  <c r="D17" i="5"/>
  <c r="B17" i="5"/>
  <c r="D27" i="5"/>
  <c r="F27" i="5"/>
  <c r="H27" i="5"/>
  <c r="J27" i="5"/>
  <c r="L27" i="5"/>
  <c r="N27" i="5"/>
  <c r="P27" i="5"/>
  <c r="P18" i="5"/>
  <c r="N18" i="5"/>
  <c r="L18" i="5"/>
  <c r="J18" i="5"/>
  <c r="H18" i="5"/>
  <c r="F18" i="5"/>
  <c r="D18" i="5"/>
  <c r="B18" i="5"/>
  <c r="D28" i="5"/>
  <c r="F28" i="5"/>
  <c r="H28" i="5"/>
  <c r="J28" i="5"/>
  <c r="L28" i="5"/>
  <c r="N28" i="5"/>
  <c r="P28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B5" i="5"/>
  <c r="B4" i="5"/>
  <c r="I13" i="4"/>
  <c r="H13" i="4"/>
  <c r="G13" i="4"/>
  <c r="F13" i="4"/>
  <c r="E13" i="4"/>
  <c r="D13" i="4"/>
  <c r="C13" i="4"/>
  <c r="C27" i="4"/>
  <c r="D27" i="4"/>
  <c r="E27" i="4"/>
  <c r="F27" i="4"/>
  <c r="G27" i="4"/>
  <c r="H27" i="4"/>
  <c r="I27" i="4"/>
  <c r="I14" i="4"/>
  <c r="H14" i="4"/>
  <c r="G14" i="4"/>
  <c r="F14" i="4"/>
  <c r="E14" i="4"/>
  <c r="D14" i="4"/>
  <c r="C14" i="4"/>
  <c r="C28" i="4"/>
  <c r="D28" i="4"/>
  <c r="E28" i="4"/>
  <c r="F28" i="4"/>
  <c r="G28" i="4"/>
  <c r="H28" i="4"/>
  <c r="I28" i="4"/>
  <c r="I15" i="4"/>
  <c r="H15" i="4"/>
  <c r="G15" i="4"/>
  <c r="F15" i="4"/>
  <c r="E15" i="4"/>
  <c r="D15" i="4"/>
  <c r="C15" i="4"/>
  <c r="C29" i="4"/>
  <c r="D29" i="4"/>
  <c r="E29" i="4"/>
  <c r="F29" i="4"/>
  <c r="G29" i="4"/>
  <c r="H29" i="4"/>
  <c r="I29" i="4"/>
  <c r="I16" i="4"/>
  <c r="H16" i="4"/>
  <c r="G16" i="4"/>
  <c r="F16" i="4"/>
  <c r="E16" i="4"/>
  <c r="D16" i="4"/>
  <c r="C16" i="4"/>
  <c r="C30" i="4"/>
  <c r="D30" i="4"/>
  <c r="E30" i="4"/>
  <c r="F30" i="4"/>
  <c r="G30" i="4"/>
  <c r="H30" i="4"/>
  <c r="I30" i="4"/>
  <c r="I17" i="4"/>
  <c r="H17" i="4"/>
  <c r="G17" i="4"/>
  <c r="F17" i="4"/>
  <c r="E17" i="4"/>
  <c r="D17" i="4"/>
  <c r="C17" i="4"/>
  <c r="C31" i="4"/>
  <c r="D31" i="4"/>
  <c r="E31" i="4"/>
  <c r="F31" i="4"/>
  <c r="G31" i="4"/>
  <c r="H31" i="4"/>
  <c r="I31" i="4"/>
  <c r="I18" i="4"/>
  <c r="H18" i="4"/>
  <c r="G18" i="4"/>
  <c r="F18" i="4"/>
  <c r="E18" i="4"/>
  <c r="D18" i="4"/>
  <c r="C18" i="4"/>
  <c r="C32" i="4"/>
  <c r="D32" i="4"/>
  <c r="E32" i="4"/>
  <c r="F32" i="4"/>
  <c r="G32" i="4"/>
  <c r="H32" i="4"/>
  <c r="I32" i="4"/>
  <c r="I19" i="4"/>
  <c r="H19" i="4"/>
  <c r="G19" i="4"/>
  <c r="F19" i="4"/>
  <c r="E19" i="4"/>
  <c r="D19" i="4"/>
  <c r="C19" i="4"/>
  <c r="C33" i="4"/>
  <c r="D33" i="4"/>
  <c r="E33" i="4"/>
  <c r="F33" i="4"/>
  <c r="G33" i="4"/>
  <c r="H33" i="4"/>
  <c r="I33" i="4"/>
  <c r="I20" i="4"/>
  <c r="H20" i="4"/>
  <c r="G20" i="4"/>
  <c r="F20" i="4"/>
  <c r="E20" i="4"/>
  <c r="D20" i="4"/>
  <c r="C20" i="4"/>
  <c r="C34" i="4"/>
  <c r="D34" i="4"/>
  <c r="E34" i="4"/>
  <c r="F34" i="4"/>
  <c r="G34" i="4"/>
  <c r="H34" i="4"/>
  <c r="I34" i="4"/>
  <c r="I21" i="4"/>
  <c r="H21" i="4"/>
  <c r="G21" i="4"/>
  <c r="F21" i="4"/>
  <c r="E21" i="4"/>
  <c r="D21" i="4"/>
  <c r="C21" i="4"/>
  <c r="C35" i="4"/>
  <c r="D35" i="4"/>
  <c r="E35" i="4"/>
  <c r="F35" i="4"/>
  <c r="G35" i="4"/>
  <c r="H35" i="4"/>
  <c r="I35" i="4"/>
  <c r="I36" i="4"/>
  <c r="H36" i="4"/>
  <c r="G36" i="4"/>
  <c r="F36" i="4"/>
  <c r="E36" i="4"/>
  <c r="D36" i="4"/>
  <c r="C22" i="4"/>
  <c r="C36" i="4"/>
  <c r="I22" i="4"/>
  <c r="H22" i="4"/>
  <c r="G22" i="4"/>
  <c r="F22" i="4"/>
  <c r="E22" i="4"/>
  <c r="D22" i="4"/>
  <c r="B13" i="4"/>
  <c r="B14" i="4"/>
  <c r="B15" i="4"/>
  <c r="B16" i="4"/>
  <c r="B17" i="4"/>
  <c r="B18" i="4"/>
  <c r="B19" i="4"/>
  <c r="B20" i="4"/>
  <c r="B21" i="4"/>
  <c r="B22" i="4"/>
  <c r="B3" i="4"/>
  <c r="I13" i="3"/>
  <c r="H13" i="3"/>
  <c r="G13" i="3"/>
  <c r="F13" i="3"/>
  <c r="E13" i="3"/>
  <c r="D13" i="3"/>
  <c r="C13" i="3"/>
  <c r="C24" i="3"/>
  <c r="D24" i="3"/>
  <c r="E24" i="3"/>
  <c r="F24" i="3"/>
  <c r="G24" i="3"/>
  <c r="H24" i="3"/>
  <c r="I24" i="3"/>
  <c r="I14" i="3"/>
  <c r="H14" i="3"/>
  <c r="G14" i="3"/>
  <c r="F14" i="3"/>
  <c r="E14" i="3"/>
  <c r="D14" i="3"/>
  <c r="C14" i="3"/>
  <c r="C25" i="3"/>
  <c r="D25" i="3"/>
  <c r="E25" i="3"/>
  <c r="F25" i="3"/>
  <c r="G25" i="3"/>
  <c r="H25" i="3"/>
  <c r="I25" i="3"/>
  <c r="I15" i="3"/>
  <c r="H15" i="3"/>
  <c r="G15" i="3"/>
  <c r="F15" i="3"/>
  <c r="E15" i="3"/>
  <c r="D15" i="3"/>
  <c r="C15" i="3"/>
  <c r="C26" i="3"/>
  <c r="D26" i="3"/>
  <c r="E26" i="3"/>
  <c r="F26" i="3"/>
  <c r="G26" i="3"/>
  <c r="H26" i="3"/>
  <c r="I26" i="3"/>
  <c r="I16" i="3"/>
  <c r="H16" i="3"/>
  <c r="G16" i="3"/>
  <c r="F16" i="3"/>
  <c r="E16" i="3"/>
  <c r="D16" i="3"/>
  <c r="C16" i="3"/>
  <c r="C27" i="3"/>
  <c r="D27" i="3"/>
  <c r="E27" i="3"/>
  <c r="F27" i="3"/>
  <c r="G27" i="3"/>
  <c r="H27" i="3"/>
  <c r="I27" i="3"/>
  <c r="I17" i="3"/>
  <c r="H17" i="3"/>
  <c r="G17" i="3"/>
  <c r="F17" i="3"/>
  <c r="E17" i="3"/>
  <c r="D17" i="3"/>
  <c r="C17" i="3"/>
  <c r="C28" i="3"/>
  <c r="D28" i="3"/>
  <c r="E28" i="3"/>
  <c r="F28" i="3"/>
  <c r="G28" i="3"/>
  <c r="H28" i="3"/>
  <c r="I28" i="3"/>
  <c r="I29" i="3"/>
  <c r="H29" i="3"/>
  <c r="G29" i="3"/>
  <c r="F29" i="3"/>
  <c r="E29" i="3"/>
  <c r="D29" i="3"/>
  <c r="C18" i="3"/>
  <c r="C29" i="3"/>
  <c r="I18" i="3"/>
  <c r="H18" i="3"/>
  <c r="G18" i="3"/>
  <c r="F18" i="3"/>
  <c r="E18" i="3"/>
  <c r="D18" i="3"/>
  <c r="D19" i="3"/>
  <c r="E19" i="3"/>
  <c r="F19" i="3"/>
  <c r="G19" i="3"/>
  <c r="H19" i="3"/>
  <c r="I19" i="3"/>
  <c r="B13" i="3"/>
  <c r="B14" i="3"/>
  <c r="B15" i="3"/>
  <c r="B16" i="3"/>
  <c r="B17" i="3"/>
  <c r="B18" i="3"/>
  <c r="B3" i="3"/>
  <c r="I13" i="2"/>
  <c r="H13" i="2"/>
  <c r="G13" i="2"/>
  <c r="F13" i="2"/>
  <c r="E13" i="2"/>
  <c r="D13" i="2"/>
  <c r="C13" i="2"/>
  <c r="C21" i="2"/>
  <c r="D21" i="2"/>
  <c r="E21" i="2"/>
  <c r="F21" i="2"/>
  <c r="G21" i="2"/>
  <c r="H21" i="2"/>
  <c r="I21" i="2"/>
  <c r="I14" i="2"/>
  <c r="H14" i="2"/>
  <c r="G14" i="2"/>
  <c r="F14" i="2"/>
  <c r="E14" i="2"/>
  <c r="D14" i="2"/>
  <c r="C14" i="2"/>
  <c r="C22" i="2"/>
  <c r="D22" i="2"/>
  <c r="E22" i="2"/>
  <c r="F22" i="2"/>
  <c r="G22" i="2"/>
  <c r="H22" i="2"/>
  <c r="I22" i="2"/>
  <c r="I23" i="2"/>
  <c r="H23" i="2"/>
  <c r="G23" i="2"/>
  <c r="F23" i="2"/>
  <c r="E23" i="2"/>
  <c r="D23" i="2"/>
  <c r="C15" i="2"/>
  <c r="C23" i="2"/>
  <c r="I15" i="2"/>
  <c r="H15" i="2"/>
  <c r="G15" i="2"/>
  <c r="F15" i="2"/>
  <c r="E15" i="2"/>
  <c r="D15" i="2"/>
  <c r="D16" i="2"/>
  <c r="E16" i="2"/>
  <c r="F16" i="2"/>
  <c r="G16" i="2"/>
  <c r="H16" i="2"/>
  <c r="I16" i="2"/>
  <c r="B13" i="2"/>
  <c r="B14" i="2"/>
  <c r="B15" i="2"/>
  <c r="B3" i="2"/>
</calcChain>
</file>

<file path=xl/sharedStrings.xml><?xml version="1.0" encoding="utf-8"?>
<sst xmlns="http://schemas.openxmlformats.org/spreadsheetml/2006/main" count="12017" uniqueCount="1595">
  <si>
    <t>Linear Asset Type: Pipeline</t>
  </si>
  <si>
    <t>Total Miles in Project Area</t>
  </si>
  <si>
    <t>Parcel was counted if any portion of the parcel was affected by flood hazard</t>
  </si>
  <si>
    <t>DATA SOURCE: ???</t>
  </si>
  <si>
    <t>* 0 SLR = MHHW layer of NOAA SLR Viewer</t>
  </si>
  <si>
    <t>Floodzone and SLR were calculated seperately, so they are not additive, there will be overlaps</t>
  </si>
  <si>
    <t>Asset Subclass</t>
  </si>
  <si>
    <t>NOTES</t>
  </si>
  <si>
    <t>Floodzone</t>
  </si>
  <si>
    <t xml:space="preserve"> 0' SLR*</t>
  </si>
  <si>
    <t>1' SLR</t>
  </si>
  <si>
    <t>2' SLR</t>
  </si>
  <si>
    <t xml:space="preserve"> 3' SLR</t>
  </si>
  <si>
    <t>4' SLR</t>
  </si>
  <si>
    <t xml:space="preserve"> 5' SLR</t>
  </si>
  <si>
    <t xml:space="preserve"> 6' SLR</t>
  </si>
  <si>
    <t>Miles</t>
  </si>
  <si>
    <t>Gas</t>
  </si>
  <si>
    <t>Liquid</t>
  </si>
  <si>
    <t>Total</t>
  </si>
  <si>
    <t>Cumulative Asset Subclass</t>
  </si>
  <si>
    <t>Linear Asset Type: Rail</t>
  </si>
  <si>
    <t>Abandoned Railroad</t>
  </si>
  <si>
    <t>BNSF</t>
  </si>
  <si>
    <t>BART</t>
  </si>
  <si>
    <t>Union Pacific</t>
  </si>
  <si>
    <t>N/A</t>
  </si>
  <si>
    <t>Linear Asset Type: Bay Trail</t>
  </si>
  <si>
    <t>Caltrans</t>
  </si>
  <si>
    <t>Contra Costa County Public Works</t>
  </si>
  <si>
    <t>East Bay Regional Park District</t>
  </si>
  <si>
    <t>Hercules Public Works Department</t>
  </si>
  <si>
    <t>Martinez Public Works Department</t>
  </si>
  <si>
    <t>Pinole Public Works Department</t>
  </si>
  <si>
    <t>Port of Richmond</t>
  </si>
  <si>
    <t>Richmond Public Works Dept</t>
  </si>
  <si>
    <t>San Pablo Parks &amp; Recreation</t>
  </si>
  <si>
    <t>Land Use Type: Brownfields</t>
  </si>
  <si>
    <t>Total Acres in Project Area: ?</t>
  </si>
  <si>
    <t>Total Brownfield Parcels</t>
  </si>
  <si>
    <t>Total Brownfield Acres</t>
  </si>
  <si>
    <t>DATA SOURCE: Envirostor</t>
  </si>
  <si>
    <t xml:space="preserve">         Floodzone no SLR</t>
  </si>
  <si>
    <t xml:space="preserve">        Floodzone + 0' SLR*</t>
  </si>
  <si>
    <t xml:space="preserve">        Floodzone + 1' SLR</t>
  </si>
  <si>
    <t xml:space="preserve">        Floodzone + 2' SLR</t>
  </si>
  <si>
    <t xml:space="preserve">        Floodzone + 3' SLR</t>
  </si>
  <si>
    <t xml:space="preserve">        Floodzone + 4' SLR</t>
  </si>
  <si>
    <t xml:space="preserve">        Floodzone + 5' SLR</t>
  </si>
  <si>
    <t xml:space="preserve">        Floodzone + 6' SLR</t>
  </si>
  <si>
    <t>Parcel Count</t>
  </si>
  <si>
    <t>Acreage</t>
  </si>
  <si>
    <t>Active</t>
  </si>
  <si>
    <t>Certified / Operation &amp; Maintenance</t>
  </si>
  <si>
    <t>Certified O&amp;M - Land Use Restrictions Only</t>
  </si>
  <si>
    <t>Inactive - Action Required</t>
  </si>
  <si>
    <t xml:space="preserve">    SLR 0' not in Floodzone*</t>
  </si>
  <si>
    <t xml:space="preserve">    SLR 1' not in Floodzone</t>
  </si>
  <si>
    <t xml:space="preserve">    SLR 2' not in Floodzone</t>
  </si>
  <si>
    <t xml:space="preserve">    SLR 3' not in Floodzone</t>
  </si>
  <si>
    <t xml:space="preserve">    SLR 4' not in Floodzone</t>
  </si>
  <si>
    <t xml:space="preserve">    SLR 5' not in Floodzone</t>
  </si>
  <si>
    <t xml:space="preserve">    SLR 6' not in Floodzone</t>
  </si>
  <si>
    <t xml:space="preserve">       Adjacent at 0' SLR*</t>
  </si>
  <si>
    <t xml:space="preserve">       Adjacent at 1' SLR</t>
  </si>
  <si>
    <t xml:space="preserve">       Adjacent at 2' SLR</t>
  </si>
  <si>
    <t xml:space="preserve">       Adjacent at 3' SLR</t>
  </si>
  <si>
    <t xml:space="preserve">       Adjacent at 4' SLR</t>
  </si>
  <si>
    <t xml:space="preserve">       Adjacent at 5' SLR</t>
  </si>
  <si>
    <t xml:space="preserve">       Adjacent at 6' SLR</t>
  </si>
  <si>
    <t>Land Use Type: Commercial</t>
  </si>
  <si>
    <t>Total Commercial Parcels</t>
  </si>
  <si>
    <t>Total Commercial Acres</t>
  </si>
  <si>
    <t>DATA SOURCE: Contra Costa County Assessors Parcel data</t>
  </si>
  <si>
    <t>Auto repair</t>
  </si>
  <si>
    <t>Boat Harbors</t>
  </si>
  <si>
    <t>Commercial stores (not supermarkets)</t>
  </si>
  <si>
    <t>Community facilities; recreational; swim pool association</t>
  </si>
  <si>
    <t>Drive-in restaurants (hamburger, taco, etc.)</t>
  </si>
  <si>
    <t>Financial buildings (insurance and title companies, banks, savings and loans</t>
  </si>
  <si>
    <t>Medical; dental</t>
  </si>
  <si>
    <t>Motels, hotels, and mobile home parks</t>
  </si>
  <si>
    <t>Multiple and commercial; miscellaneously improved</t>
  </si>
  <si>
    <t>New car auto agencies</t>
  </si>
  <si>
    <t>Office buildings</t>
  </si>
  <si>
    <t>Restaurants (not drive-in; inside service only)</t>
  </si>
  <si>
    <t>Service stations; car washes; bulk plants; mini lube</t>
  </si>
  <si>
    <t>Shopping centers (all parcels include vacant for future shopping center)</t>
  </si>
  <si>
    <t>Vacant</t>
  </si>
  <si>
    <t>looks like a private residence but may be a "hotel" of sorts</t>
  </si>
  <si>
    <t xml:space="preserve"> Project Area*</t>
  </si>
  <si>
    <t>Port Costa</t>
  </si>
  <si>
    <t>Hercules</t>
  </si>
  <si>
    <t>Total in</t>
  </si>
  <si>
    <t>Pittsburg</t>
  </si>
  <si>
    <t>El Cerrito</t>
  </si>
  <si>
    <t>Vine Hill</t>
  </si>
  <si>
    <t>Pinole</t>
  </si>
  <si>
    <t>Crockett</t>
  </si>
  <si>
    <t>Tara Hills</t>
  </si>
  <si>
    <t>North Richmond</t>
  </si>
  <si>
    <t>Concord</t>
  </si>
  <si>
    <t>San Pablo</t>
  </si>
  <si>
    <t>Mountain View</t>
  </si>
  <si>
    <t>Clyde</t>
  </si>
  <si>
    <t>Rodeo</t>
  </si>
  <si>
    <t>Montalvin Manor</t>
  </si>
  <si>
    <t>Bayview</t>
  </si>
  <si>
    <t>Richmond</t>
  </si>
  <si>
    <t>Martinez</t>
  </si>
  <si>
    <t>Bay Point</t>
  </si>
  <si>
    <t>Population</t>
  </si>
  <si>
    <t>Place</t>
  </si>
  <si>
    <t xml:space="preserve"> Place</t>
  </si>
  <si>
    <t>Total in Project Area*</t>
  </si>
  <si>
    <t>6'</t>
  </si>
  <si>
    <t>5'</t>
  </si>
  <si>
    <t>4'</t>
  </si>
  <si>
    <t xml:space="preserve">3' </t>
  </si>
  <si>
    <t>2'</t>
  </si>
  <si>
    <t>1'</t>
  </si>
  <si>
    <t>6' Adjacent</t>
  </si>
  <si>
    <t>Flood Only</t>
  </si>
  <si>
    <t xml:space="preserve">              Sea Level Rise Outside the Floodzone (Cumulative Count)   </t>
  </si>
  <si>
    <t>Low-lying</t>
  </si>
  <si>
    <t xml:space="preserve">             In the 100-year Flood with Sea Level Rise (Cumulative Count)</t>
  </si>
  <si>
    <t>Current 100-year</t>
  </si>
  <si>
    <t>Housing</t>
  </si>
  <si>
    <t>Total exposed in project area</t>
  </si>
  <si>
    <t>Total in places</t>
  </si>
  <si>
    <t>6' SLR no FZ population</t>
  </si>
  <si>
    <t>6' SLR no FZ housing</t>
  </si>
  <si>
    <t>5' SLR no FZ population</t>
  </si>
  <si>
    <t>5' SLR no FZ housing</t>
  </si>
  <si>
    <t>4' SLR no FZ population</t>
  </si>
  <si>
    <t>4' SLR no FZ housing</t>
  </si>
  <si>
    <t>3' SLR no FZ population</t>
  </si>
  <si>
    <t>3' SLR no FZ housing</t>
  </si>
  <si>
    <t>2' SLR no FZ population</t>
  </si>
  <si>
    <t>2' SLR no FZ housing</t>
  </si>
  <si>
    <t>1' SLR no FZ population</t>
  </si>
  <si>
    <t>1' SLR no FZ housing</t>
  </si>
  <si>
    <t>Low lying 6' population</t>
  </si>
  <si>
    <t>Low lying 6' housing</t>
  </si>
  <si>
    <t>Cumulative</t>
  </si>
  <si>
    <t>6' SLR + FZ population</t>
  </si>
  <si>
    <t>6' SLR + FZ housing</t>
  </si>
  <si>
    <t>5' SLR + FZ population</t>
  </si>
  <si>
    <t>5' SLR + FZ housing</t>
  </si>
  <si>
    <t>4' SLR + FZ population</t>
  </si>
  <si>
    <t>4' SLR + FZ housing</t>
  </si>
  <si>
    <t>3' SLR + FZ population</t>
  </si>
  <si>
    <t>3' SLR + FZ housing</t>
  </si>
  <si>
    <t>2' SLR + FZ population</t>
  </si>
  <si>
    <t>2' SLR + FZ housing</t>
  </si>
  <si>
    <t>1' SLR + FZ population</t>
  </si>
  <si>
    <t>1' SLR + FZ housing</t>
  </si>
  <si>
    <t>FZ only population</t>
  </si>
  <si>
    <t>FZ only housing</t>
  </si>
  <si>
    <t>6' SLR population</t>
  </si>
  <si>
    <t>6' SLR   housing</t>
  </si>
  <si>
    <t>5' SLR population</t>
  </si>
  <si>
    <t>5' SLR   housing</t>
  </si>
  <si>
    <t>4' SLR   population</t>
  </si>
  <si>
    <t>4' SLR   housing</t>
  </si>
  <si>
    <t>3' SLR population</t>
  </si>
  <si>
    <t>3' SLR   housing</t>
  </si>
  <si>
    <t>2' SLR population</t>
  </si>
  <si>
    <t>2' SLR   housing</t>
  </si>
  <si>
    <t>1' SLR population</t>
  </si>
  <si>
    <t>1' SLR    housing</t>
  </si>
  <si>
    <t>FZ  population</t>
  </si>
  <si>
    <t>FZ  housing</t>
  </si>
  <si>
    <t>***Don't use in totals***</t>
  </si>
  <si>
    <t>NAME</t>
  </si>
  <si>
    <t>Owner</t>
  </si>
  <si>
    <t>Facility Type</t>
  </si>
  <si>
    <t>Chemicals</t>
  </si>
  <si>
    <t>ACREAGE</t>
  </si>
  <si>
    <t>100 year flood exposure</t>
  </si>
  <si>
    <t>Low Lying Exposure</t>
  </si>
  <si>
    <t>SLR Exposure</t>
  </si>
  <si>
    <t>Air Liquide America Corp</t>
  </si>
  <si>
    <t>TESORO REFINING &amp; MARKETING CO</t>
  </si>
  <si>
    <t>REFINERY</t>
  </si>
  <si>
    <t>Anhydrous  Ammonia</t>
  </si>
  <si>
    <t>A</t>
  </si>
  <si>
    <t>Air Liquide Hydrogen Plant</t>
  </si>
  <si>
    <t>TOSCO CORPORATION</t>
  </si>
  <si>
    <t>MFG</t>
  </si>
  <si>
    <t>Hydrogen, Aqueous Ammonia</t>
  </si>
  <si>
    <t>None</t>
  </si>
  <si>
    <t>Air Products - Shell</t>
  </si>
  <si>
    <t>EQUILON ENTERPRISES LLC</t>
  </si>
  <si>
    <t>Hydrogen</t>
  </si>
  <si>
    <t>AE</t>
  </si>
  <si>
    <t>Air Products - Tesoro</t>
  </si>
  <si>
    <t>Airgas Dry Ice</t>
  </si>
  <si>
    <t>AIR REDUCTION CO INC</t>
  </si>
  <si>
    <t>FACTORY</t>
  </si>
  <si>
    <t>Anhydrous Ammonia</t>
  </si>
  <si>
    <t>Bollman Water Treatment Plant</t>
  </si>
  <si>
    <t>CONTRA COSTA WATER DISTRICT</t>
  </si>
  <si>
    <t>Aqueous Ammonia</t>
  </si>
  <si>
    <t>AO</t>
  </si>
  <si>
    <t>Chemtrade West Bay Point</t>
  </si>
  <si>
    <t>GENERAL CHEMICAL WEST LLC</t>
  </si>
  <si>
    <t>Anhydrous Ammonia, Hydrogen Flouride, Hydrochloric Acid, Aqueous Ammonia</t>
  </si>
  <si>
    <t>Chemtrade West Richmond</t>
  </si>
  <si>
    <t>Sulfur Dioxide, Sulfur Trioxide, Oleum (25%)</t>
  </si>
  <si>
    <t>VE</t>
  </si>
  <si>
    <t>Chevron Richmond Refinery</t>
  </si>
  <si>
    <t>CHEVRON USA INC</t>
  </si>
  <si>
    <t>Anhydrous Ammonia, Aqueous Ammonia, Hydrogen Sulfide, Sulfuric Acid, Flammables</t>
  </si>
  <si>
    <t>Eco Services</t>
  </si>
  <si>
    <t>STAUFFER CHEMICAL COMPANY</t>
  </si>
  <si>
    <t>Anhydrous Ammonia, Sulfur Dioxide, Sulfur Trioxide</t>
  </si>
  <si>
    <t>Linde</t>
  </si>
  <si>
    <t>MECS</t>
  </si>
  <si>
    <t>Vanadium Pentoxide</t>
  </si>
  <si>
    <t>Phillips 66 Rodeo Refinery</t>
  </si>
  <si>
    <t>Flammables, Hydrogen Sulfide, Aqueous Ammonia</t>
  </si>
  <si>
    <t>Safeway Beverage Plant</t>
  </si>
  <si>
    <t>1921 SAN JOAQUIN ASSOCIATES</t>
  </si>
  <si>
    <t>BEV-PLNT</t>
  </si>
  <si>
    <t>Shell Chemical</t>
  </si>
  <si>
    <t>SHELL CHEMICAL LP</t>
  </si>
  <si>
    <t>PLANT</t>
  </si>
  <si>
    <t>Ethylenediamine</t>
  </si>
  <si>
    <t>Shell OPUS Martinez Refinery</t>
  </si>
  <si>
    <t>x</t>
  </si>
  <si>
    <t>Shell OPUS Martinez Refinery Shoreline Parcel</t>
  </si>
  <si>
    <t>Tesoro</t>
  </si>
  <si>
    <t>VACANT</t>
  </si>
  <si>
    <t>Anhydrous Ammonia, Aqueous Ammonia, Sulfur Dioxide, Flamables, Hydrogen Sulfide, Sufuric Acid</t>
  </si>
  <si>
    <t>Heavy industrial</t>
  </si>
  <si>
    <t>Industrial Park (with structures)</t>
  </si>
  <si>
    <t>Light industrial</t>
  </si>
  <si>
    <t>Research and Development, with or without structures</t>
  </si>
  <si>
    <t>Industrial park</t>
  </si>
  <si>
    <t>Land Use Type: Multi Family Residential</t>
  </si>
  <si>
    <t>Total Multi Family Parcels</t>
  </si>
  <si>
    <t>Total Multi Famly Units</t>
  </si>
  <si>
    <t>Total Multi Family Acres</t>
  </si>
  <si>
    <t>Unit Count</t>
  </si>
  <si>
    <t>Apartments**</t>
  </si>
  <si>
    <t>Duplex, Triplex, Fourplex</t>
  </si>
  <si>
    <t>Condos, cooperatives (-1 Single Family) (-2 Rossmoor)</t>
  </si>
  <si>
    <t>Vacant Multi Family***</t>
  </si>
  <si>
    <t xml:space="preserve">Unit Count </t>
  </si>
  <si>
    <t>Condos, cooperatives (-1 Single Family) (-2 Rossmoor)****</t>
  </si>
  <si>
    <t>**Apartments are 5 units and above, including Liberty Village Apartments SLR 4'</t>
  </si>
  <si>
    <t>***Vacant Multi Family units left at 0</t>
  </si>
  <si>
    <t>****N/A in unit count for Condos, cooperatives (-1 Single Family) (-2 Rossmoor) because don't have accurate information; all condos located in Richmond and Atchinson Village is adjacent 6'</t>
  </si>
  <si>
    <t>OBJECTID</t>
  </si>
  <si>
    <t>APN</t>
  </si>
  <si>
    <t>PARCEL_NO</t>
  </si>
  <si>
    <t>P_OWNER_NM</t>
  </si>
  <si>
    <t>DESC_</t>
  </si>
  <si>
    <t>VACANT_LOT</t>
  </si>
  <si>
    <t>S_STR_NM</t>
  </si>
  <si>
    <t>S_STR_SUF</t>
  </si>
  <si>
    <t>S_STR_NBR</t>
  </si>
  <si>
    <t>S_APT_NBR</t>
  </si>
  <si>
    <t>S_CTY_ABBR</t>
  </si>
  <si>
    <t>S_ZIP</t>
  </si>
  <si>
    <t>LAND_VALUE</t>
  </si>
  <si>
    <t>IMP_VAL</t>
  </si>
  <si>
    <t>PER_PRPTY</t>
  </si>
  <si>
    <t>TYPE</t>
  </si>
  <si>
    <t>BLDNG_NBR</t>
  </si>
  <si>
    <t>NBR_BLDNGS</t>
  </si>
  <si>
    <t>YR_HS_BLT</t>
  </si>
  <si>
    <t>TOT_AREA</t>
  </si>
  <si>
    <t>STORIES</t>
  </si>
  <si>
    <t>UNITS</t>
  </si>
  <si>
    <t>BLDG_SQFT</t>
  </si>
  <si>
    <t>USEDESC</t>
  </si>
  <si>
    <t>Subclass</t>
  </si>
  <si>
    <t>DFIRM_ID</t>
  </si>
  <si>
    <t>VERSION_ID</t>
  </si>
  <si>
    <t>ZONE_SUBTY</t>
  </si>
  <si>
    <t>SFHA_TF</t>
  </si>
  <si>
    <t>STATIC_BFE</t>
  </si>
  <si>
    <t>FLD_ZONE</t>
  </si>
  <si>
    <t>Rise</t>
  </si>
  <si>
    <t>LLSLR</t>
  </si>
  <si>
    <t>Shape_Ar_3</t>
  </si>
  <si>
    <t>Acreage Calc</t>
  </si>
  <si>
    <t>Inundation Category</t>
  </si>
  <si>
    <t>357081002</t>
  </si>
  <si>
    <t>RECO INVESTORS LLC</t>
  </si>
  <si>
    <t>SUB BLK 1W TOWN OF RODEO                5  1</t>
  </si>
  <si>
    <t>PARKER</t>
  </si>
  <si>
    <t>AVE</t>
  </si>
  <si>
    <t>330</t>
  </si>
  <si>
    <t>RODEO</t>
  </si>
  <si>
    <t>94572</t>
  </si>
  <si>
    <t>O</t>
  </si>
  <si>
    <t>Apartments, 5-12 units, inclusive</t>
  </si>
  <si>
    <t>06013C</t>
  </si>
  <si>
    <t>1.1.1.0</t>
  </si>
  <si>
    <t>T</t>
  </si>
  <si>
    <t>372363003</t>
  </si>
  <si>
    <t>JOHNSON RICHARD TRE</t>
  </si>
  <si>
    <t>ORIGINAL SURVEY LOTS 1 &amp; 2 BLK 39</t>
  </si>
  <si>
    <t>FERRY</t>
  </si>
  <si>
    <t>ST</t>
  </si>
  <si>
    <t>1000</t>
  </si>
  <si>
    <t>MRTNZ</t>
  </si>
  <si>
    <t>94553</t>
  </si>
  <si>
    <t>373152004</t>
  </si>
  <si>
    <t>TICHENOR PAUL &amp; NANCY</t>
  </si>
  <si>
    <t>ADDL SURVEY POR LOTS 7 &amp; 8 BLK 339</t>
  </si>
  <si>
    <t>COURT</t>
  </si>
  <si>
    <t>927</t>
  </si>
  <si>
    <t>373163003</t>
  </si>
  <si>
    <t>JORDAN WILLIAM PATRICK TRE</t>
  </si>
  <si>
    <t>ADDL SURVEY POR LOTS 7 &amp; 8 BLK 325</t>
  </si>
  <si>
    <t>GREEN</t>
  </si>
  <si>
    <t>823</t>
  </si>
  <si>
    <t>374073019</t>
  </si>
  <si>
    <t>JOHNSON RICKEY J</t>
  </si>
  <si>
    <t>COURT AVE TRACT LOT 14</t>
  </si>
  <si>
    <t>1107</t>
  </si>
  <si>
    <t>372350002</t>
  </si>
  <si>
    <t>MORITA KENNETH HIROSHI TRE</t>
  </si>
  <si>
    <t>ORIGINAL SURVEY POR BLKS 208 &amp; 209</t>
  </si>
  <si>
    <t>1033</t>
  </si>
  <si>
    <t>372350004</t>
  </si>
  <si>
    <t>NOMURA CARL T</t>
  </si>
  <si>
    <t>ORIGINAL SURVEY POR BLK 208</t>
  </si>
  <si>
    <t>1021</t>
  </si>
  <si>
    <t>372362010</t>
  </si>
  <si>
    <t>JACOBS J L &amp; MARGARET W TRE</t>
  </si>
  <si>
    <t>ORIGINAL SURVEY LTS 3 &amp; 4 BLK 38</t>
  </si>
  <si>
    <t>MASONIC</t>
  </si>
  <si>
    <t>602</t>
  </si>
  <si>
    <t>372363005</t>
  </si>
  <si>
    <t>GREENE DOLORES F TRE</t>
  </si>
  <si>
    <t>ORIGINAL SURVEY LOTS 5 &amp; 6 BLK 39</t>
  </si>
  <si>
    <t>ESTUDILLO</t>
  </si>
  <si>
    <t>1035</t>
  </si>
  <si>
    <t>096050001</t>
  </si>
  <si>
    <t>FERNANDES MIKE M &amp; JAN M TRE</t>
  </si>
  <si>
    <t>WEST PITTSBURG TR #1 LOT 20 BLK A</t>
  </si>
  <si>
    <t>BROADWAY N</t>
  </si>
  <si>
    <t>217</t>
  </si>
  <si>
    <t>1-3</t>
  </si>
  <si>
    <t>PITTS</t>
  </si>
  <si>
    <t>94565</t>
  </si>
  <si>
    <t>AREA OF MINIMAL FLOOD HAZARD</t>
  </si>
  <si>
    <t>098040024</t>
  </si>
  <si>
    <t>MIGHTY APARTMENTS INC</t>
  </si>
  <si>
    <t>SHORE ACRES #1 LOTS 13,14 &amp; 15 EX MR</t>
  </si>
  <si>
    <t>SKIPPER</t>
  </si>
  <si>
    <t>RD</t>
  </si>
  <si>
    <t>27</t>
  </si>
  <si>
    <t>BAYPT</t>
  </si>
  <si>
    <t>0.2 PCT ANNUAL CHANCE FLOOD HAZARD</t>
  </si>
  <si>
    <t>372372007</t>
  </si>
  <si>
    <t>ORIGINAL SURVEY                       3&amp;4 43</t>
  </si>
  <si>
    <t>MELLUS</t>
  </si>
  <si>
    <t>412</t>
  </si>
  <si>
    <t>510053008</t>
  </si>
  <si>
    <t>DEPIANTO ENNIO TRE</t>
  </si>
  <si>
    <t>RICH ANNEX ADDN LOT 15 BLK 110</t>
  </si>
  <si>
    <t>SAN MATEO</t>
  </si>
  <si>
    <t>3203</t>
  </si>
  <si>
    <t>RCHMD</t>
  </si>
  <si>
    <t>94804</t>
  </si>
  <si>
    <t>510053024</t>
  </si>
  <si>
    <t>RICH ANNEX ADDN LOT 14 BLK 110</t>
  </si>
  <si>
    <t>373223002</t>
  </si>
  <si>
    <t>BLAKENEY RUTH C TRE</t>
  </si>
  <si>
    <t>ORIGINAL SURVEY POR LOTS 1 &amp; 2 BLK 19</t>
  </si>
  <si>
    <t>CASTRO</t>
  </si>
  <si>
    <t>600</t>
  </si>
  <si>
    <t>372363004</t>
  </si>
  <si>
    <t>STEINER JAMES J &amp; DEITRA H TRE</t>
  </si>
  <si>
    <t>ORIGINAL SURVEY LOTS 7 &amp; 8 BLK 39</t>
  </si>
  <si>
    <t>721</t>
  </si>
  <si>
    <t>098040029</t>
  </si>
  <si>
    <t>SHORE ACRES #1 LOTS 17 TO 20 POR 16 EX MR</t>
  </si>
  <si>
    <t>1</t>
  </si>
  <si>
    <t>372371006</t>
  </si>
  <si>
    <t>PARKHURST MAUREEN REED TRE</t>
  </si>
  <si>
    <t>ORIGINAL SURVEY                       3&amp;4 36</t>
  </si>
  <si>
    <t>BERRELLESA</t>
  </si>
  <si>
    <t>1011</t>
  </si>
  <si>
    <t>372350001</t>
  </si>
  <si>
    <t>MORPHY JAMES F &amp; ALEXANDRA TRE</t>
  </si>
  <si>
    <t>1005</t>
  </si>
  <si>
    <t>Apartments, 13-24 units, inclusive</t>
  </si>
  <si>
    <t>374061004</t>
  </si>
  <si>
    <t>BURNS DOROTHY C TRE</t>
  </si>
  <si>
    <t>POR RO LAS JUNTAS</t>
  </si>
  <si>
    <t>PINE</t>
  </si>
  <si>
    <t>1131</t>
  </si>
  <si>
    <t>357081001</t>
  </si>
  <si>
    <t>SUB BLK 1W TOWN OF RODEO LOTS 1 TO 4 BLK 1</t>
  </si>
  <si>
    <t>300</t>
  </si>
  <si>
    <t>411020012</t>
  </si>
  <si>
    <t>BROOKSIDE APARTMENTS LLC</t>
  </si>
  <si>
    <t>GRAYS 1/2 ACRE LOT 8 &amp; RO ADJ .67 AC</t>
  </si>
  <si>
    <t>BROOKSIDE</t>
  </si>
  <si>
    <t>DR</t>
  </si>
  <si>
    <t>1230</t>
  </si>
  <si>
    <t>SNPAB</t>
  </si>
  <si>
    <t>94806</t>
  </si>
  <si>
    <t>Apartments, 25-59 units, inclusive</t>
  </si>
  <si>
    <t>411020022</t>
  </si>
  <si>
    <t>EL PASEO HOUSING INVESTORS</t>
  </si>
  <si>
    <t>POR RO SAN PABLO</t>
  </si>
  <si>
    <t>1150</t>
  </si>
  <si>
    <t>Apartments, 60 units or more</t>
  </si>
  <si>
    <t>354121003</t>
  </si>
  <si>
    <t>CHEGWYN SUSAN</t>
  </si>
  <si>
    <t>TOWN OF VALONA                   POR    1  F</t>
  </si>
  <si>
    <t>STARR</t>
  </si>
  <si>
    <t>1204</t>
  </si>
  <si>
    <t>CRCKT</t>
  </si>
  <si>
    <t>94525</t>
  </si>
  <si>
    <t>R</t>
  </si>
  <si>
    <t>1908</t>
  </si>
  <si>
    <t>Duplex</t>
  </si>
  <si>
    <t>354122005</t>
  </si>
  <si>
    <t>PETERSEN DEBRA ARDISSONE</t>
  </si>
  <si>
    <t>TOWN OF VALONA POR LOTS 4,8 &amp; 9 BLK A</t>
  </si>
  <si>
    <t>3RD</t>
  </si>
  <si>
    <t>433</t>
  </si>
  <si>
    <t>1904</t>
  </si>
  <si>
    <t>357163007</t>
  </si>
  <si>
    <t>WOODS JENNIFER</t>
  </si>
  <si>
    <t>AMD MAPS TOWN RODEO                    17  5</t>
  </si>
  <si>
    <t>INVESTMENT</t>
  </si>
  <si>
    <t>744</t>
  </si>
  <si>
    <t>1956</t>
  </si>
  <si>
    <t>FLOODWAY</t>
  </si>
  <si>
    <t>372392011</t>
  </si>
  <si>
    <t>AVALON ROBERT &amp; VIRGINIA TRE</t>
  </si>
  <si>
    <t>ORIG SURVEY LOT 5 &amp; POR 6 BLK 207</t>
  </si>
  <si>
    <t>931</t>
  </si>
  <si>
    <t>1990</t>
  </si>
  <si>
    <t>372362004</t>
  </si>
  <si>
    <t>WELLEN JESSE &amp; THERESA</t>
  </si>
  <si>
    <t>ORIGINAL SURVEY POR LOTS 7 &amp; 8 BLK 38</t>
  </si>
  <si>
    <t>1028</t>
  </si>
  <si>
    <t>1924</t>
  </si>
  <si>
    <t>372362007</t>
  </si>
  <si>
    <t>MASSANTE LOUISE A TRE</t>
  </si>
  <si>
    <t>ORIGINAL SURVEY POR 5 &amp; 6 BLK 38</t>
  </si>
  <si>
    <t>1023</t>
  </si>
  <si>
    <t>1925</t>
  </si>
  <si>
    <t>372366004</t>
  </si>
  <si>
    <t>PARTRIDGE MARK C TRE</t>
  </si>
  <si>
    <t>ORIGINAL SURVEY LOT 7 BLK 40</t>
  </si>
  <si>
    <t>HENRIETTA</t>
  </si>
  <si>
    <t>1941</t>
  </si>
  <si>
    <t>372371002</t>
  </si>
  <si>
    <t>HANNIGAN PAUL K</t>
  </si>
  <si>
    <t>ORIGINAL SURVEY                  POR  7&amp;8 36</t>
  </si>
  <si>
    <t>ALHAMBRA</t>
  </si>
  <si>
    <t>1022</t>
  </si>
  <si>
    <t>1892</t>
  </si>
  <si>
    <t>372371004</t>
  </si>
  <si>
    <t>BERGAMINI IRENE M TRE</t>
  </si>
  <si>
    <t>ORIGINAL SURVEY POR LT 6 BLK 36</t>
  </si>
  <si>
    <t>417</t>
  </si>
  <si>
    <t>1965</t>
  </si>
  <si>
    <t>372371010</t>
  </si>
  <si>
    <t>BURGESS DOUGLAS G TRE</t>
  </si>
  <si>
    <t>PCL MAP 89 PG 40 PCL A</t>
  </si>
  <si>
    <t>1002</t>
  </si>
  <si>
    <t>372371011</t>
  </si>
  <si>
    <t>WATSON SEAN R &amp; HEATHER A</t>
  </si>
  <si>
    <t>PCL MAP 89 PG 40 PCL B</t>
  </si>
  <si>
    <t>1014</t>
  </si>
  <si>
    <t>1890</t>
  </si>
  <si>
    <t>373232004</t>
  </si>
  <si>
    <t>OMANIA APOLINAR &amp; RENATE TRE</t>
  </si>
  <si>
    <t>ORIGINAL SURVEY POR LOT 8 BLK 9</t>
  </si>
  <si>
    <t>434</t>
  </si>
  <si>
    <t>2006</t>
  </si>
  <si>
    <t>373232005</t>
  </si>
  <si>
    <t>MILLER DALE G &amp; JUDITH D TRE</t>
  </si>
  <si>
    <t>ORIGINAL SURVEY LOT 7 BLK 9</t>
  </si>
  <si>
    <t>MARINA VISTA</t>
  </si>
  <si>
    <t>435</t>
  </si>
  <si>
    <t>1900</t>
  </si>
  <si>
    <t>510053007</t>
  </si>
  <si>
    <t>RICH ANNEX ADDN LTS 16-18 BLK 110</t>
  </si>
  <si>
    <t>3211</t>
  </si>
  <si>
    <t>1945</t>
  </si>
  <si>
    <t>374073018</t>
  </si>
  <si>
    <t>ANSELMO ROSE MARIE</t>
  </si>
  <si>
    <t>COURT AVE TRACT LOT 13</t>
  </si>
  <si>
    <t>1115</t>
  </si>
  <si>
    <t>Combinations; e.g., single and a double</t>
  </si>
  <si>
    <t>372332003</t>
  </si>
  <si>
    <t>HAGEN CHRIS J TRE</t>
  </si>
  <si>
    <t>ORIGINAL SURVEY                  POR  1&amp;2 46</t>
  </si>
  <si>
    <t>1202</t>
  </si>
  <si>
    <t>Triplex</t>
  </si>
  <si>
    <t>373152009</t>
  </si>
  <si>
    <t>PEDERSEN MARY KAY</t>
  </si>
  <si>
    <t>ADDL SURVEY POR LOTS 5 &amp; 6 BLK 339</t>
  </si>
  <si>
    <t>LAS JUNTAS</t>
  </si>
  <si>
    <t>923</t>
  </si>
  <si>
    <t>373152010</t>
  </si>
  <si>
    <t>JUROW JEFF</t>
  </si>
  <si>
    <t>933</t>
  </si>
  <si>
    <t>095092028</t>
  </si>
  <si>
    <t>FRANKLIN PAUL R &amp; ERLINDA TRE</t>
  </si>
  <si>
    <t>PITTSBURG HOME ACRES POR LOTS 2 &amp; 3 BLK 2</t>
  </si>
  <si>
    <t>WILLOW PASS</t>
  </si>
  <si>
    <t>2083</t>
  </si>
  <si>
    <t>Fourplex</t>
  </si>
  <si>
    <t>372391001</t>
  </si>
  <si>
    <t>LAFLEUR CECILIA O</t>
  </si>
  <si>
    <t>ORIGINAL SURVEY                         4 33</t>
  </si>
  <si>
    <t>901</t>
  </si>
  <si>
    <t>372392003</t>
  </si>
  <si>
    <t>CASADEI ERMALINE V TRE</t>
  </si>
  <si>
    <t>ORIGINAL SURVEY POR LOT 8 BLK 207 &amp; TR</t>
  </si>
  <si>
    <t>739</t>
  </si>
  <si>
    <t>372362005</t>
  </si>
  <si>
    <t>TONG CALVIN WAI KEUNG</t>
  </si>
  <si>
    <t>1032</t>
  </si>
  <si>
    <t>372362008</t>
  </si>
  <si>
    <t>GOULD EDWARD &amp; CORNELIA TRE</t>
  </si>
  <si>
    <t>PCL MAP 98 PG 11 PCL A</t>
  </si>
  <si>
    <t>372362009</t>
  </si>
  <si>
    <t>PCL MAP 98 PG 11 PCL B</t>
  </si>
  <si>
    <t>1012</t>
  </si>
  <si>
    <t>A,B,C,D,D</t>
  </si>
  <si>
    <t>372366005</t>
  </si>
  <si>
    <t>AVALON ROBERT MITCHELL</t>
  </si>
  <si>
    <t>ORIGINAL SURVEY POR LOTS 5 &amp; 6 BLK 40</t>
  </si>
  <si>
    <t>1135</t>
  </si>
  <si>
    <t>372366007</t>
  </si>
  <si>
    <t>CHAHIN JACQUES &amp; BLANCA TRE</t>
  </si>
  <si>
    <t>ORIG SURVEY LOT 2 POR 3 BLK 40</t>
  </si>
  <si>
    <t>724</t>
  </si>
  <si>
    <t>372366008</t>
  </si>
  <si>
    <t>ORIG SURVEY POR LOT 3 ALL 4 BLK 40</t>
  </si>
  <si>
    <t>1101</t>
  </si>
  <si>
    <t>372372003</t>
  </si>
  <si>
    <t>GARRETT DANIEL A TRE</t>
  </si>
  <si>
    <t>ORIGINAL SURVEY                  POR  7&amp;8 43</t>
  </si>
  <si>
    <t>1112</t>
  </si>
  <si>
    <t>373151003</t>
  </si>
  <si>
    <t>POON CHIU-SHING</t>
  </si>
  <si>
    <t>ADDNL SURV MARTINEZ</t>
  </si>
  <si>
    <t>374073001</t>
  </si>
  <si>
    <t>COURT AVE TRACT POR LOT 1</t>
  </si>
  <si>
    <t>1108</t>
  </si>
  <si>
    <t>412020008</t>
  </si>
  <si>
    <t>LEI JIMMY RUO</t>
  </si>
  <si>
    <t>NORTH GATE ANNEX TR LOTS 4 &amp; 5 BLK E</t>
  </si>
  <si>
    <t>COALPORT</t>
  </si>
  <si>
    <t>412031023</t>
  </si>
  <si>
    <t>BERENJIAH MOHSEN &amp; CYNTHE TRE</t>
  </si>
  <si>
    <t>NORTHGATE ANNEX POR LOTS 1 TO 4 BLK C</t>
  </si>
  <si>
    <t>TRENTON</t>
  </si>
  <si>
    <t>908</t>
  </si>
  <si>
    <t>412031024</t>
  </si>
  <si>
    <t>JIMENEZ JAVIER</t>
  </si>
  <si>
    <t>NORTHGATE ANNEX POR LOTS 1,2&amp;3 BLK C</t>
  </si>
  <si>
    <t>BLVD</t>
  </si>
  <si>
    <t>900</t>
  </si>
  <si>
    <t>098040030</t>
  </si>
  <si>
    <t>SHORE ACRES #1   POR   16</t>
  </si>
  <si>
    <t>357052002</t>
  </si>
  <si>
    <t>NEW BELLCA LIMITED CORPORATION</t>
  </si>
  <si>
    <t>TOWN OF RODEO                         5&amp;6 7W</t>
  </si>
  <si>
    <t>368147003</t>
  </si>
  <si>
    <t>RICH WILLIAM L SR TRE EST OF</t>
  </si>
  <si>
    <t>TOWN PORT COSTA LOTS 6-8 BLK 2</t>
  </si>
  <si>
    <t>V</t>
  </si>
  <si>
    <t>CANYON LAKE</t>
  </si>
  <si>
    <t>PTCOS</t>
  </si>
  <si>
    <t>94569</t>
  </si>
  <si>
    <t>373234006</t>
  </si>
  <si>
    <t>CHRISTENSEN BRUCE &amp; RONDA TRE</t>
  </si>
  <si>
    <t>ORIGINAL SURVEY LOTS 7 &amp; 8 BLK 11</t>
  </si>
  <si>
    <t>ESCOBAR</t>
  </si>
  <si>
    <t>427</t>
  </si>
  <si>
    <t>357172006</t>
  </si>
  <si>
    <t>PIRES NOEMIA DE SOUSA TRE</t>
  </si>
  <si>
    <t>TOWN OF RODEO POR LOTS 1 TO 11 BLK 4W</t>
  </si>
  <si>
    <t>RAILROAD</t>
  </si>
  <si>
    <t>122</t>
  </si>
  <si>
    <t>357182012</t>
  </si>
  <si>
    <t>CARDOSO JOHN S</t>
  </si>
  <si>
    <t>TOWN OF RODEO POR LOTS 9-13 INCLUD BLK 5W</t>
  </si>
  <si>
    <t>6</t>
  </si>
  <si>
    <t>357183001</t>
  </si>
  <si>
    <t>RAMOS JUAN C &amp; ANA B</t>
  </si>
  <si>
    <t>AMD MAPS TOWN RODEO                   1&amp;236E</t>
  </si>
  <si>
    <t>15</t>
  </si>
  <si>
    <t>357171016</t>
  </si>
  <si>
    <t>MEADOW CREEK GROUP LLC</t>
  </si>
  <si>
    <t>TOWN OF RODEO LOTS 22,24 &amp; 26 BLK 3W</t>
  </si>
  <si>
    <t>JOHN</t>
  </si>
  <si>
    <t>136</t>
  </si>
  <si>
    <t>357171014</t>
  </si>
  <si>
    <t>TOWN OF RODEO LOTS 16,18 &amp; 20 BLK 3W</t>
  </si>
  <si>
    <t>152</t>
  </si>
  <si>
    <t>357183015</t>
  </si>
  <si>
    <t>DENG SAMUEL &amp; ARIEN</t>
  </si>
  <si>
    <t>AMD MAPS TOWN RODEO LOTS 11 &amp; 12 BLK 36E</t>
  </si>
  <si>
    <t>1ST</t>
  </si>
  <si>
    <t>710</t>
  </si>
  <si>
    <t>357171018</t>
  </si>
  <si>
    <t>TOWN OF RODEO LOTS 28 TO 32 BLK 3W</t>
  </si>
  <si>
    <t>629</t>
  </si>
  <si>
    <t>357181009</t>
  </si>
  <si>
    <t>PELEG YORAM &amp; BARBARA L TRE</t>
  </si>
  <si>
    <t>TOWN RODEO LOT 13 POR 12,14 TO 17 BLK 6W</t>
  </si>
  <si>
    <t>SAN PABLO</t>
  </si>
  <si>
    <t>601</t>
  </si>
  <si>
    <t>357162018</t>
  </si>
  <si>
    <t>OROZCO ANTONIO</t>
  </si>
  <si>
    <t>BLK A TOWN RODEO                        8  4</t>
  </si>
  <si>
    <t>TORMEY</t>
  </si>
  <si>
    <t>745</t>
  </si>
  <si>
    <t>357162003</t>
  </si>
  <si>
    <t>RAYMOND HELEN A</t>
  </si>
  <si>
    <t>POR BLK A TOWN OF RODEO                 6  4</t>
  </si>
  <si>
    <t>749</t>
  </si>
  <si>
    <t>1920</t>
  </si>
  <si>
    <t>357173004</t>
  </si>
  <si>
    <t>LOW LILLIAN M TRE</t>
  </si>
  <si>
    <t>POR BLK A TOWN OF RODEO LOT 6 BLK 1</t>
  </si>
  <si>
    <t>733</t>
  </si>
  <si>
    <t>357173005</t>
  </si>
  <si>
    <t>ROSSON PAT L &amp; MARIAN TRE</t>
  </si>
  <si>
    <t>POR BLK A TOWN OF RODEO LOT 7 BLK 1</t>
  </si>
  <si>
    <t>737</t>
  </si>
  <si>
    <t>1931</t>
  </si>
  <si>
    <t>357174017</t>
  </si>
  <si>
    <t>MATHIAS MELODY A</t>
  </si>
  <si>
    <t>POR BLK A TOWN OF RODEO                16  2</t>
  </si>
  <si>
    <t>2ND</t>
  </si>
  <si>
    <t>732</t>
  </si>
  <si>
    <t>1930</t>
  </si>
  <si>
    <t>357181011</t>
  </si>
  <si>
    <t>HURT DONALD</t>
  </si>
  <si>
    <t>TOWN OF RODEO POR LOTS 18 TO 22  BLK 6W</t>
  </si>
  <si>
    <t>357163026</t>
  </si>
  <si>
    <t>PADILLA MANUEL R &amp; MARIA P TRE</t>
  </si>
  <si>
    <t>AMEND MAPS TOWN OF RODEO         POR       5</t>
  </si>
  <si>
    <t>357182010</t>
  </si>
  <si>
    <t>CHARUN FFELY</t>
  </si>
  <si>
    <t>TOWN OF RODEO POR LOTS 14 &amp; 15 BLK 5W</t>
  </si>
  <si>
    <t>655</t>
  </si>
  <si>
    <t>357172005</t>
  </si>
  <si>
    <t>ADDIEGO SILVIO &amp; SHEILA G TRE</t>
  </si>
  <si>
    <t>TOWN OF RODEO POR LOTS 12 &amp; 13 BLK 4W</t>
  </si>
  <si>
    <t>663</t>
  </si>
  <si>
    <t>357171013</t>
  </si>
  <si>
    <t>BESSOLO JOHN F TRE</t>
  </si>
  <si>
    <t>TOWN OF RODEO LOTS 12 &amp; 14 BLK 3W</t>
  </si>
  <si>
    <t>160</t>
  </si>
  <si>
    <t>357182011</t>
  </si>
  <si>
    <t>CAO PENG TRE</t>
  </si>
  <si>
    <t>TOWN OF RODEO POR LOTS 16 &amp; 17 BLK 5W</t>
  </si>
  <si>
    <t>647</t>
  </si>
  <si>
    <t>357183004</t>
  </si>
  <si>
    <t>COOPER CURTIS L &amp; CARMEN J</t>
  </si>
  <si>
    <t>AMD MAPS TOWN RODEO                     536E</t>
  </si>
  <si>
    <t>725</t>
  </si>
  <si>
    <t>508192012</t>
  </si>
  <si>
    <t>FORD J DAVID TRE</t>
  </si>
  <si>
    <t>RICHMOND ANNEX LOT 30 POR 25,26 &amp; 29 BLK 15</t>
  </si>
  <si>
    <t>TEHAMA</t>
  </si>
  <si>
    <t>5301</t>
  </si>
  <si>
    <t>F</t>
  </si>
  <si>
    <t>508192026</t>
  </si>
  <si>
    <t>WRIGHT JEFFREY</t>
  </si>
  <si>
    <t>RICHMOND ANNEX POR LOTS 20 TO 24 BLK 15</t>
  </si>
  <si>
    <t>SAN JOAQUIN</t>
  </si>
  <si>
    <t>1575</t>
  </si>
  <si>
    <t>508200015</t>
  </si>
  <si>
    <t>SPEARS GWENDOLYN I</t>
  </si>
  <si>
    <t>RICHMOND ANNEX LOTS 38,39 &amp; 40 BLK 32</t>
  </si>
  <si>
    <t>BURLINGAME</t>
  </si>
  <si>
    <t>5217</t>
  </si>
  <si>
    <t>510081060</t>
  </si>
  <si>
    <t>TING CHAOWIN &amp; KEH C</t>
  </si>
  <si>
    <t>RICHMOND ANNEX LOTS 25-27 BLK 82</t>
  </si>
  <si>
    <t>COLUMBIA</t>
  </si>
  <si>
    <t>5234</t>
  </si>
  <si>
    <t>510081027</t>
  </si>
  <si>
    <t>ZAPIEN CARLOS &amp; ELIDA</t>
  </si>
  <si>
    <t>RICHMOND ANNEX POR LOTS 7 TO 10 BLK 92</t>
  </si>
  <si>
    <t>VAN FLEET</t>
  </si>
  <si>
    <t>5304</t>
  </si>
  <si>
    <t>561162019</t>
  </si>
  <si>
    <t>KAHAN TOBIAS</t>
  </si>
  <si>
    <t>WALLS 2ND ADDN LOTS 33,34 &amp; 35 BLK 224</t>
  </si>
  <si>
    <t>SANFORD</t>
  </si>
  <si>
    <t>201</t>
  </si>
  <si>
    <t>94801</t>
  </si>
  <si>
    <t>409022009</t>
  </si>
  <si>
    <t>1265 YORK STREET PARTNERS LLC</t>
  </si>
  <si>
    <t>WALLS 2ND ADDN LOTS 12 &amp; 13 BLK 228</t>
  </si>
  <si>
    <t>YORK</t>
  </si>
  <si>
    <t>1265</t>
  </si>
  <si>
    <t>507261007</t>
  </si>
  <si>
    <t>1701 SAN JOAQUIN LLC</t>
  </si>
  <si>
    <t>RICH ANNEX LOTS 13 TO 18 POR 19 BLK 33</t>
  </si>
  <si>
    <t>1701</t>
  </si>
  <si>
    <t>507261026</t>
  </si>
  <si>
    <t>MARINO ROCKEY J TRE</t>
  </si>
  <si>
    <t>RICHMOND ANNEX POR BLK 47</t>
  </si>
  <si>
    <t>1907</t>
  </si>
  <si>
    <t>538012004</t>
  </si>
  <si>
    <t>ATCHISON VILLAGE MUTUAL HOMES</t>
  </si>
  <si>
    <t>IN CITY OF RICHMOND 30.17 AC</t>
  </si>
  <si>
    <t>GARRARD</t>
  </si>
  <si>
    <t>M</t>
  </si>
  <si>
    <t>0000</t>
  </si>
  <si>
    <t>560720125</t>
  </si>
  <si>
    <t>LENNAR EMERALD MARINA COVE LLC</t>
  </si>
  <si>
    <t>T6627    L1       B16  U125</t>
  </si>
  <si>
    <t>SCHOONER</t>
  </si>
  <si>
    <t>CT</t>
  </si>
  <si>
    <t>126</t>
  </si>
  <si>
    <t>1986</t>
  </si>
  <si>
    <t>409022015</t>
  </si>
  <si>
    <t>LEDESMA FILOMENO &amp; ROSA</t>
  </si>
  <si>
    <t>WALLS 2ND ADDN LOTS 22 &amp; 23 BLK 228</t>
  </si>
  <si>
    <t>WILLARD</t>
  </si>
  <si>
    <t>8</t>
  </si>
  <si>
    <t>1923</t>
  </si>
  <si>
    <t>409051001</t>
  </si>
  <si>
    <t>ROBLES NICHOLAS</t>
  </si>
  <si>
    <t>TRUMANS ADDN LOTS 333,334 &amp; 335 BLK 13</t>
  </si>
  <si>
    <t>RUBY W</t>
  </si>
  <si>
    <t>22</t>
  </si>
  <si>
    <t>561161019</t>
  </si>
  <si>
    <t>FRANCO GIOVANI</t>
  </si>
  <si>
    <t>WALLS 2ND ADDN LOTS 1 &amp; 2 BLK 217</t>
  </si>
  <si>
    <t>ALAMO</t>
  </si>
  <si>
    <t>216</t>
  </si>
  <si>
    <t>409032011</t>
  </si>
  <si>
    <t>FEDERAL NATL MORTGAGE ASSN</t>
  </si>
  <si>
    <t>WALLS 2ND ADDN LOT 14 POR 15 BLK 225</t>
  </si>
  <si>
    <t>1315</t>
  </si>
  <si>
    <t>1960</t>
  </si>
  <si>
    <t>409011002</t>
  </si>
  <si>
    <t>CHARITY ELIZABETH TRE EST OF</t>
  </si>
  <si>
    <t>WALLS 2ND ADDN RICH LOTS 2 &amp; 3 BLK 227</t>
  </si>
  <si>
    <t>112</t>
  </si>
  <si>
    <t>1963</t>
  </si>
  <si>
    <t>409011004</t>
  </si>
  <si>
    <t>REYES JUAN</t>
  </si>
  <si>
    <t>WALL 2ND ADDN RICH LOTS 5 &amp; 6 BLK 227</t>
  </si>
  <si>
    <t>BATTERY</t>
  </si>
  <si>
    <t>1255</t>
  </si>
  <si>
    <t>409022005</t>
  </si>
  <si>
    <t>DELEON ESTEVAN &amp; LUCIA</t>
  </si>
  <si>
    <t>WALLS 2ND ADDN LOTS 4 &amp; 5 BLK 228</t>
  </si>
  <si>
    <t>42</t>
  </si>
  <si>
    <t>1954</t>
  </si>
  <si>
    <t>409051017</t>
  </si>
  <si>
    <t>MARTIN ERMESTINE</t>
  </si>
  <si>
    <t>TRUMAN ADDN LOTS 341 &amp; 342 BLK 13</t>
  </si>
  <si>
    <t>1521</t>
  </si>
  <si>
    <t>1962</t>
  </si>
  <si>
    <t>409041005</t>
  </si>
  <si>
    <t>SEELAM VENKATA R</t>
  </si>
  <si>
    <t>WALLS 2ND ADDN LOTS 7 &amp; 8 BLK 206</t>
  </si>
  <si>
    <t>CHESLEY</t>
  </si>
  <si>
    <t>38</t>
  </si>
  <si>
    <t>409042009</t>
  </si>
  <si>
    <t>WHITE PANDORA</t>
  </si>
  <si>
    <t>WALLS 2ND ADDN LOTS 19 &amp; 20 BLK 215</t>
  </si>
  <si>
    <t>17</t>
  </si>
  <si>
    <t>409042017</t>
  </si>
  <si>
    <t>KAHAN TOBY</t>
  </si>
  <si>
    <t>WALLS 2ND ADDN LOT 12 &amp; POR 11 BLK 215</t>
  </si>
  <si>
    <t>GERTRUDE</t>
  </si>
  <si>
    <t>18</t>
  </si>
  <si>
    <t>1957</t>
  </si>
  <si>
    <t>409051009</t>
  </si>
  <si>
    <t>TRUMANS ADDN LOTS 346 &amp; 347 BLK 13 EX MR</t>
  </si>
  <si>
    <t>CHESLEY W</t>
  </si>
  <si>
    <t>409051014</t>
  </si>
  <si>
    <t>TRAN CHAU-AN</t>
  </si>
  <si>
    <t>TRUMANS ADDN LOTS 353 &amp; 354 BLK 13</t>
  </si>
  <si>
    <t>37</t>
  </si>
  <si>
    <t>409051015</t>
  </si>
  <si>
    <t>MALDONADO ORLANDO &amp; EVELIA</t>
  </si>
  <si>
    <t>TRUMANS ADDN LOTS 355 &amp; 356 BLK 13</t>
  </si>
  <si>
    <t>35</t>
  </si>
  <si>
    <t>1991</t>
  </si>
  <si>
    <t>409060015</t>
  </si>
  <si>
    <t>WHITE LEWIS H &amp; ELMA R</t>
  </si>
  <si>
    <t>TRUMANS ADDN LOTS 278 &amp; 279 BLK 11</t>
  </si>
  <si>
    <t>1950</t>
  </si>
  <si>
    <t>507150023</t>
  </si>
  <si>
    <t>LAU DOMINIC WING &amp; MIRANDA C</t>
  </si>
  <si>
    <t>RICHMOND ANNEX LOTS 6, 7 &amp; POR 5 BLK 50</t>
  </si>
  <si>
    <t>SUTTER</t>
  </si>
  <si>
    <t>5424</t>
  </si>
  <si>
    <t>1944</t>
  </si>
  <si>
    <t>507130001</t>
  </si>
  <si>
    <t>FLORES ALFRED D</t>
  </si>
  <si>
    <t>RICHMOND ANNEX LOT 7 POR 6 BLK 48</t>
  </si>
  <si>
    <t>MODOC</t>
  </si>
  <si>
    <t>1939</t>
  </si>
  <si>
    <t>507140021</t>
  </si>
  <si>
    <t>LIU CHENG JIU</t>
  </si>
  <si>
    <t>RICHMOND ANNEX LOT 36 POR 37 BLK 49</t>
  </si>
  <si>
    <t>5435</t>
  </si>
  <si>
    <t>1943</t>
  </si>
  <si>
    <t>507150002</t>
  </si>
  <si>
    <t>CHAN JANE TRE</t>
  </si>
  <si>
    <t>RICHMOND ANNEX                        8&amp;9 50</t>
  </si>
  <si>
    <t>5432</t>
  </si>
  <si>
    <t>507261004</t>
  </si>
  <si>
    <t>FUJIKAWA MICHAEL &amp; ARLENE TRE</t>
  </si>
  <si>
    <t>RICHMOND ANNEX                        7&amp;8 33</t>
  </si>
  <si>
    <t>5210</t>
  </si>
  <si>
    <t>1958</t>
  </si>
  <si>
    <t>508052006</t>
  </si>
  <si>
    <t>SEDANO JOSE</t>
  </si>
  <si>
    <t>RICHMOND ANNEX                       9&amp;10  2</t>
  </si>
  <si>
    <t>MONTEREY</t>
  </si>
  <si>
    <t>1323</t>
  </si>
  <si>
    <t>508062009</t>
  </si>
  <si>
    <t>CARO MARIO L SR</t>
  </si>
  <si>
    <t>RICHMOND ANNEX LOTS 37 &amp; 38 BLK 2</t>
  </si>
  <si>
    <t>1381</t>
  </si>
  <si>
    <t>1942</t>
  </si>
  <si>
    <t>508170003</t>
  </si>
  <si>
    <t>TING CHAO WIN</t>
  </si>
  <si>
    <t>RICHMOND ANNEX LOTS 73 &amp; 74 BLK 2</t>
  </si>
  <si>
    <t>1529</t>
  </si>
  <si>
    <t>508150011</t>
  </si>
  <si>
    <t>WANG ZHAO YANG</t>
  </si>
  <si>
    <t>RICHMOND ANNEX LOTS 18 &amp; 19 BLK 13</t>
  </si>
  <si>
    <t>1471</t>
  </si>
  <si>
    <t>508170011</t>
  </si>
  <si>
    <t>FORD VICTORIA VIVIAN TRE</t>
  </si>
  <si>
    <t>RICHMOND ANNEX LOT 89 POR 90 BLK 2</t>
  </si>
  <si>
    <t>1609</t>
  </si>
  <si>
    <t>508170012</t>
  </si>
  <si>
    <t>FRUGOLI JAMES P</t>
  </si>
  <si>
    <t>RICHMOND ANNEX LOT 91 PORS 90 &amp; 92 BLK 2</t>
  </si>
  <si>
    <t>1617</t>
  </si>
  <si>
    <t>508170013</t>
  </si>
  <si>
    <t>CHEN GUOPING</t>
  </si>
  <si>
    <t>RICHMOND ANNEX LOT 93 PORS 92 &amp; 94 BLK 2</t>
  </si>
  <si>
    <t>1625</t>
  </si>
  <si>
    <t>508200021</t>
  </si>
  <si>
    <t>CHAN FLORENCE LAI WAH</t>
  </si>
  <si>
    <t>RICHMOND ANNEX LOT 48 POR 49 BLK 32</t>
  </si>
  <si>
    <t>5117</t>
  </si>
  <si>
    <t>508200022</t>
  </si>
  <si>
    <t>RICHMOND ANNEX LOT 50 POR 49 &amp; 51 BLK 32</t>
  </si>
  <si>
    <t>5109</t>
  </si>
  <si>
    <t>508200023</t>
  </si>
  <si>
    <t>EDWARDS KIP W &amp; KIM M</t>
  </si>
  <si>
    <t>RICHMOND ANNEX LOT 52 POR 51 BLK 32</t>
  </si>
  <si>
    <t>1622</t>
  </si>
  <si>
    <t>508180001</t>
  </si>
  <si>
    <t>PADDA BALWINDER S &amp; KASHMIR K</t>
  </si>
  <si>
    <t>RICHMOND ANNEX LOT 1 POR 2 BLK 14</t>
  </si>
  <si>
    <t>IMPERIAL</t>
  </si>
  <si>
    <t>5222</t>
  </si>
  <si>
    <t>508180002</t>
  </si>
  <si>
    <t>MEDLOCK JOHN I JR</t>
  </si>
  <si>
    <t>RICHMOND ANNEX LOT 3 POR 2 &amp; 4 BLK 14</t>
  </si>
  <si>
    <t>OSCAR</t>
  </si>
  <si>
    <t>1507</t>
  </si>
  <si>
    <t>510081008</t>
  </si>
  <si>
    <t>SCHLAICH THOMAS E &amp; TEKLA TRE</t>
  </si>
  <si>
    <t>RICHMOND ANNEX LOT 19 POR 20 BLK 82</t>
  </si>
  <si>
    <t>5136</t>
  </si>
  <si>
    <t>1947</t>
  </si>
  <si>
    <t>561161017</t>
  </si>
  <si>
    <t>LARREYNAGA OSCAR B</t>
  </si>
  <si>
    <t>WALLS 2ND ADDN POR LOTS 37 TO 40 BLK 217</t>
  </si>
  <si>
    <t>200</t>
  </si>
  <si>
    <t>1946</t>
  </si>
  <si>
    <t>561161018</t>
  </si>
  <si>
    <t>MAYO LINSY &amp; TUPITO</t>
  </si>
  <si>
    <t>210</t>
  </si>
  <si>
    <t>561172019</t>
  </si>
  <si>
    <t>ARNHART SUZANNE</t>
  </si>
  <si>
    <t>WALLS 2ND ADDN LOTS 31 &amp; 32 BLK 214</t>
  </si>
  <si>
    <t>219</t>
  </si>
  <si>
    <t>561171003</t>
  </si>
  <si>
    <t>MARTIN WILLIAM D &amp; ERMESTINE P</t>
  </si>
  <si>
    <t>WALLS 2ND ADDN LOTS 3 &amp; 4 BLK 207</t>
  </si>
  <si>
    <t>1952</t>
  </si>
  <si>
    <t>561171022</t>
  </si>
  <si>
    <t>WALLS 2ND ADDN                        1&amp;2207</t>
  </si>
  <si>
    <t>561172001</t>
  </si>
  <si>
    <t>ELMWOOD INVESTMENTS LLC</t>
  </si>
  <si>
    <t>WALLS 2ND ADDN                        1&amp;2214</t>
  </si>
  <si>
    <t>218</t>
  </si>
  <si>
    <t>510081030</t>
  </si>
  <si>
    <t>WU CALVIN</t>
  </si>
  <si>
    <t>RICHMOND ANNEX LOT 26 BLK 92</t>
  </si>
  <si>
    <t>SAN JOSE</t>
  </si>
  <si>
    <t>5233</t>
  </si>
  <si>
    <t>510081052</t>
  </si>
  <si>
    <t>WANG JULIUS &amp; HUIHUI H</t>
  </si>
  <si>
    <t>RICH ANNEX LOTS 22,23 &amp; POR 21 BLK 92</t>
  </si>
  <si>
    <t>409032014</t>
  </si>
  <si>
    <t>ISMAEL MOHAMMED</t>
  </si>
  <si>
    <t>WALLS 2ND ADDN LOT 19 BLK 225</t>
  </si>
  <si>
    <t>1301</t>
  </si>
  <si>
    <t>409022006</t>
  </si>
  <si>
    <t>BRODSKIY DMITRIY &amp; MELANIE</t>
  </si>
  <si>
    <t>WALLS 2ND ADDN LOTS 6,7 &amp; 8 BLK 228</t>
  </si>
  <si>
    <t>32</t>
  </si>
  <si>
    <t>507261005</t>
  </si>
  <si>
    <t>JONES MARY E TRE</t>
  </si>
  <si>
    <t>RICHMOND ANNEX LOTS 9 &amp; 10</t>
  </si>
  <si>
    <t>5216</t>
  </si>
  <si>
    <t>507261006</t>
  </si>
  <si>
    <t>SPEARS RANDOLPH JR</t>
  </si>
  <si>
    <t>RICHMOND ANNEX LOTS 11 &amp; 12 BLK 33</t>
  </si>
  <si>
    <t>5224</t>
  </si>
  <si>
    <t>507261009</t>
  </si>
  <si>
    <t>MANOV IVAN G TRE</t>
  </si>
  <si>
    <t>RICHMOND ANNEX LOTS 35 TO 37 BLK 33</t>
  </si>
  <si>
    <t>COLUSA</t>
  </si>
  <si>
    <t>5205</t>
  </si>
  <si>
    <t>507261033</t>
  </si>
  <si>
    <t>GRODECKI RICHARD SHANNON TRE</t>
  </si>
  <si>
    <t>RICHMOND ANNEX LTS 31 &amp; 32</t>
  </si>
  <si>
    <t>5221</t>
  </si>
  <si>
    <t>507261034</t>
  </si>
  <si>
    <t>NICKEL-POCK VIRGINIA</t>
  </si>
  <si>
    <t>RICHMOND ANNEX LTS 33 &amp; 34</t>
  </si>
  <si>
    <t>5213</t>
  </si>
  <si>
    <t>508200025</t>
  </si>
  <si>
    <t>LEUNG MAE YUE &amp; WA YAM</t>
  </si>
  <si>
    <t>RICH ANNEX LOTS 32 &amp; 33 POR 31 BLK 32</t>
  </si>
  <si>
    <t>508200026</t>
  </si>
  <si>
    <t>GILL HARBINDER KAUR TRE</t>
  </si>
  <si>
    <t>RICHMOND ANNEX LOTS 34 &amp; 35 BLK 32</t>
  </si>
  <si>
    <t>5237</t>
  </si>
  <si>
    <t>508200014</t>
  </si>
  <si>
    <t>RICHMOND ANNEX LOTS 36 &amp; 37 BLK 32</t>
  </si>
  <si>
    <t>5229</t>
  </si>
  <si>
    <t>508200016</t>
  </si>
  <si>
    <t>RICHMOND ANNEX LOTS 41 &amp; 42 BLK 32</t>
  </si>
  <si>
    <t>5209</t>
  </si>
  <si>
    <t>508200017</t>
  </si>
  <si>
    <t>THOMAS ALBERT BRAN</t>
  </si>
  <si>
    <t>RICHMOND ANNEX LOTS 43 &amp; 44 BLK 32</t>
  </si>
  <si>
    <t>5201</t>
  </si>
  <si>
    <t>409012017</t>
  </si>
  <si>
    <t>ADAMS CARL TRE</t>
  </si>
  <si>
    <t>WALL 2ND ADDN RICH POR LOTS 13-15 BLK 237</t>
  </si>
  <si>
    <t>VERNON</t>
  </si>
  <si>
    <t>409032019</t>
  </si>
  <si>
    <t>HORTON SAM &amp; BERTHA</t>
  </si>
  <si>
    <t>WALLS 2ND ADDN LOTS 29 &amp; 30 BLK 225</t>
  </si>
  <si>
    <t>47</t>
  </si>
  <si>
    <t>409042013</t>
  </si>
  <si>
    <t>STANLEY LEONA M</t>
  </si>
  <si>
    <t>WALLS 2ND ADDN LOTS 27 &amp; 28 BLK 215</t>
  </si>
  <si>
    <t>49</t>
  </si>
  <si>
    <t>507261031</t>
  </si>
  <si>
    <t>UNITED HERITAGE INDUSTRIES INC</t>
  </si>
  <si>
    <t>RICHMOND ANNEX LTS 29,30 &amp; POR LTS 25-28</t>
  </si>
  <si>
    <t>507262010</t>
  </si>
  <si>
    <t>VAUGHNS THOMAS E &amp; BESSIE TRE</t>
  </si>
  <si>
    <t>RICHMOND ANNEX LOTS 1-5 &amp; 22-24 BLK 46</t>
  </si>
  <si>
    <t>507262011</t>
  </si>
  <si>
    <t>RICHMOND ANNEX POR LOTS 6-8 BLK 46</t>
  </si>
  <si>
    <t>507262012</t>
  </si>
  <si>
    <t>RICHMOND ANNEX LOT 9 POR LTS 8&amp;10-13 BLK 46</t>
  </si>
  <si>
    <t>507262013</t>
  </si>
  <si>
    <t>RICHMOND ANNEX LOT 18 POR LTS 19&amp;14-17 BLK 46</t>
  </si>
  <si>
    <t>507262014</t>
  </si>
  <si>
    <t>RICHMOND ANNEX LTS 20-21 POR LTS 6-8&amp;19 BLK46</t>
  </si>
  <si>
    <t>560580001</t>
  </si>
  <si>
    <t>SURLES TERRENCE G TRE</t>
  </si>
  <si>
    <t>TRACT 152PM36          U1</t>
  </si>
  <si>
    <t>MALLARD</t>
  </si>
  <si>
    <t>1312</t>
  </si>
  <si>
    <t>1980</t>
  </si>
  <si>
    <t>560580002</t>
  </si>
  <si>
    <t>JONES LINDSAY R &amp; CHEROLYN L</t>
  </si>
  <si>
    <t>TRACT 152PM36          U2</t>
  </si>
  <si>
    <t>B</t>
  </si>
  <si>
    <t>1979</t>
  </si>
  <si>
    <t>560410078</t>
  </si>
  <si>
    <t>HORN GERALD A &amp; CARYL</t>
  </si>
  <si>
    <t>PCL MAP 140 PG 38  PCL C</t>
  </si>
  <si>
    <t>PELICAN</t>
  </si>
  <si>
    <t>WAY</t>
  </si>
  <si>
    <t>1995</t>
  </si>
  <si>
    <t>560410002</t>
  </si>
  <si>
    <t>ELLIOTT LORRAINE FLETCHER TRE</t>
  </si>
  <si>
    <t>TRACT 3520 LOT 7</t>
  </si>
  <si>
    <t>560410003</t>
  </si>
  <si>
    <t>TRACT 3520 LOT 8</t>
  </si>
  <si>
    <t>373021010</t>
  </si>
  <si>
    <t>TRAUM KEVIN K</t>
  </si>
  <si>
    <t>POR TIDE LAND SURVEY #4</t>
  </si>
  <si>
    <t>134</t>
  </si>
  <si>
    <t>373021005</t>
  </si>
  <si>
    <t>HANSON RANDOLPH W</t>
  </si>
  <si>
    <t>128</t>
  </si>
  <si>
    <t>373021007</t>
  </si>
  <si>
    <t>MARAZZANI ROBERT</t>
  </si>
  <si>
    <t>120</t>
  </si>
  <si>
    <t>538012003</t>
  </si>
  <si>
    <t>ATCHISON VILLAGE ASSOCIATES LP</t>
  </si>
  <si>
    <t>RO SAN PABLO POR LOT 43 12.30 AC</t>
  </si>
  <si>
    <t>66</t>
  </si>
  <si>
    <t>550161006</t>
  </si>
  <si>
    <t>HUTCHENS HAROLD J TRE</t>
  </si>
  <si>
    <t>SANTA FE LOTS 10,11 &amp; 12 BLK 12</t>
  </si>
  <si>
    <t>3RD S</t>
  </si>
  <si>
    <t>316</t>
  </si>
  <si>
    <t>373243001</t>
  </si>
  <si>
    <t>BERRELLESA PALMS LP</t>
  </si>
  <si>
    <t>ORIGINAL SURVEY BLK 141</t>
  </si>
  <si>
    <t>310</t>
  </si>
  <si>
    <t>550350006</t>
  </si>
  <si>
    <t>RICHMOND DEVELOPMENT COMPANY</t>
  </si>
  <si>
    <t>T8878    L1            U6</t>
  </si>
  <si>
    <t>GARRARD S</t>
  </si>
  <si>
    <t>550350008</t>
  </si>
  <si>
    <t>T8878    L1            U8</t>
  </si>
  <si>
    <t>550350010</t>
  </si>
  <si>
    <t>T8878    L1            U10</t>
  </si>
  <si>
    <t>550350018</t>
  </si>
  <si>
    <t>250 SOUTH GARRARD LLC</t>
  </si>
  <si>
    <t>T8878    L1            U18</t>
  </si>
  <si>
    <t>252</t>
  </si>
  <si>
    <t>373260004</t>
  </si>
  <si>
    <t>WONG JEFFREY</t>
  </si>
  <si>
    <t>ADDL SURVEY MTZ POR BLK 347</t>
  </si>
  <si>
    <t>1223</t>
  </si>
  <si>
    <t>1915</t>
  </si>
  <si>
    <t>373260005</t>
  </si>
  <si>
    <t>DUNCAN RICHARD C</t>
  </si>
  <si>
    <t>1227</t>
  </si>
  <si>
    <t>401020031</t>
  </si>
  <si>
    <t>MARIOTTI ERIC R TRE</t>
  </si>
  <si>
    <t>POR RO EL PINOLE</t>
  </si>
  <si>
    <t>TENNENT</t>
  </si>
  <si>
    <t>100</t>
  </si>
  <si>
    <t>PNOLE</t>
  </si>
  <si>
    <t>94564</t>
  </si>
  <si>
    <t>1893</t>
  </si>
  <si>
    <t>550161023</t>
  </si>
  <si>
    <t>MERCADO MAURILLO</t>
  </si>
  <si>
    <t>SANTA FE LOTS 36,37 &amp; 38 BLK 12</t>
  </si>
  <si>
    <t>4TH S</t>
  </si>
  <si>
    <t>327</t>
  </si>
  <si>
    <t>550081007</t>
  </si>
  <si>
    <t>WRIGHT JAMES H &amp; TRAVSI L</t>
  </si>
  <si>
    <t>SANTA FE LOT 7 BLK 3</t>
  </si>
  <si>
    <t>MAINE</t>
  </si>
  <si>
    <t>106</t>
  </si>
  <si>
    <t>550191006</t>
  </si>
  <si>
    <t>PYFR INVESTMENTS LLC</t>
  </si>
  <si>
    <t>SANTA FE LOTS 10 &amp; 11 POR 12 BLK 24</t>
  </si>
  <si>
    <t>5TH S</t>
  </si>
  <si>
    <t>357183006</t>
  </si>
  <si>
    <t>CANETTA ENSIO &amp; MARILYN A TRE</t>
  </si>
  <si>
    <t>AMD MAPS TOWN RODEO LOTS 7 TO 10 BLK 36E</t>
  </si>
  <si>
    <t>VAQUEROS</t>
  </si>
  <si>
    <t>357163025</t>
  </si>
  <si>
    <t>MACHADO JAMES L</t>
  </si>
  <si>
    <t>550350012</t>
  </si>
  <si>
    <t>T8878    L1            U12</t>
  </si>
  <si>
    <t>550350014</t>
  </si>
  <si>
    <t>T8878    L1            U14</t>
  </si>
  <si>
    <t>560450007</t>
  </si>
  <si>
    <t>SHEIKHIVIJEH MEHDI</t>
  </si>
  <si>
    <t>T06041 L0001 B    U0108NEX MR</t>
  </si>
  <si>
    <t>MELVILLE</t>
  </si>
  <si>
    <t>SQ</t>
  </si>
  <si>
    <t>1201</t>
  </si>
  <si>
    <t>108</t>
  </si>
  <si>
    <t>1983</t>
  </si>
  <si>
    <t>560450009</t>
  </si>
  <si>
    <t>DAVIS MARK F</t>
  </si>
  <si>
    <t>T06041 L0001 B    U0110NEX MR</t>
  </si>
  <si>
    <t>110</t>
  </si>
  <si>
    <t>550350016</t>
  </si>
  <si>
    <t>T8878    L1            U16</t>
  </si>
  <si>
    <t>250</t>
  </si>
  <si>
    <t>16</t>
  </si>
  <si>
    <t>550350019</t>
  </si>
  <si>
    <t>T8878    L1            U19</t>
  </si>
  <si>
    <t>19</t>
  </si>
  <si>
    <t>556121005</t>
  </si>
  <si>
    <t>TAYLOR RICHARD &amp; BEVERKEE TRE</t>
  </si>
  <si>
    <t>TOWN EAST RICHMOND LOT 7 BLK T</t>
  </si>
  <si>
    <t>RICHMOND E</t>
  </si>
  <si>
    <t>315</t>
  </si>
  <si>
    <t>357191012</t>
  </si>
  <si>
    <t>JACKSON MILLICENT J</t>
  </si>
  <si>
    <t>TOWN OF RODEO LOT 20 POR 21 BLK 28E</t>
  </si>
  <si>
    <t>MARIPOSA</t>
  </si>
  <si>
    <t>816</t>
  </si>
  <si>
    <t>1938</t>
  </si>
  <si>
    <t>372033002</t>
  </si>
  <si>
    <t>GUTIERREZ PATRICK R TRE</t>
  </si>
  <si>
    <t>ORIGINAL SURVEY POR BLK 144</t>
  </si>
  <si>
    <t>FOSTER</t>
  </si>
  <si>
    <t>215A</t>
  </si>
  <si>
    <t>1922</t>
  </si>
  <si>
    <t>373232001</t>
  </si>
  <si>
    <t>OMANIA APOLINAR B JR TRE</t>
  </si>
  <si>
    <t>ORIGINAL SURVEY LOTS 3 &amp; 4 BLK 9</t>
  </si>
  <si>
    <t>403</t>
  </si>
  <si>
    <t>1912</t>
  </si>
  <si>
    <t>550151014</t>
  </si>
  <si>
    <t>WORKMON KENNETH D</t>
  </si>
  <si>
    <t>SANTA FE LOTS 17 &amp; 18 BLK 11</t>
  </si>
  <si>
    <t>238</t>
  </si>
  <si>
    <t>1906</t>
  </si>
  <si>
    <t>550201016</t>
  </si>
  <si>
    <t>ALANSI NUKHTAR K</t>
  </si>
  <si>
    <t>SANTA FE LOTS 28 &amp; 29 BLK 23</t>
  </si>
  <si>
    <t>6TH S</t>
  </si>
  <si>
    <t>263</t>
  </si>
  <si>
    <t>1951</t>
  </si>
  <si>
    <t>550191019</t>
  </si>
  <si>
    <t>SEAGER JOSEPH P</t>
  </si>
  <si>
    <t>SANTA FE LOTS 35 &amp; 36 BLK 24</t>
  </si>
  <si>
    <t>329</t>
  </si>
  <si>
    <t>550191020</t>
  </si>
  <si>
    <t>YAN GUO LIANG</t>
  </si>
  <si>
    <t>SANTA FE LOTS 37 &amp; 38 BLK 24</t>
  </si>
  <si>
    <t>321</t>
  </si>
  <si>
    <t>550151030</t>
  </si>
  <si>
    <t>MARTIN WILLIAM D &amp; ERMESTINE</t>
  </si>
  <si>
    <t>SANTA FE LOTS 19 &amp; 20 BLK 11</t>
  </si>
  <si>
    <t>248</t>
  </si>
  <si>
    <t>550161001</t>
  </si>
  <si>
    <t>PITRE PATRICIA TRE</t>
  </si>
  <si>
    <t>SANTA FE LOTS 1 &amp; 2 BLK 12</t>
  </si>
  <si>
    <t>550161002</t>
  </si>
  <si>
    <t>CHAVEZ GABRIEL</t>
  </si>
  <si>
    <t>SANTA FE LOTS 3 &amp; 4 BLK 12</t>
  </si>
  <si>
    <t>320</t>
  </si>
  <si>
    <t>550162003</t>
  </si>
  <si>
    <t>GEE STEVEN T</t>
  </si>
  <si>
    <t>SANTA FE LOTS 4 &amp; 5 BLK 19</t>
  </si>
  <si>
    <t>416</t>
  </si>
  <si>
    <t>550162006</t>
  </si>
  <si>
    <t>SANTA FE LOTS 12 &amp; 14 BLK 19</t>
  </si>
  <si>
    <t>324</t>
  </si>
  <si>
    <t>550162022</t>
  </si>
  <si>
    <t>SINGH MALKIT</t>
  </si>
  <si>
    <t>SANTA FE LOTS 6 &amp; 7 BLK 19</t>
  </si>
  <si>
    <t>408</t>
  </si>
  <si>
    <t>550162023</t>
  </si>
  <si>
    <t>SANTA FE LOTS 8 &amp; 9 BLK 19</t>
  </si>
  <si>
    <t>400</t>
  </si>
  <si>
    <t>Join_Count</t>
  </si>
  <si>
    <t>TARGET_FID</t>
  </si>
  <si>
    <t>Join_Cou_1</t>
  </si>
  <si>
    <t>TARGET_F_1</t>
  </si>
  <si>
    <t>Join_Cou_2</t>
  </si>
  <si>
    <t>TARGET_F_2</t>
  </si>
  <si>
    <t>REV_DATE</t>
  </si>
  <si>
    <t>TRA</t>
  </si>
  <si>
    <t>OS_CODE</t>
  </si>
  <si>
    <t>OS_PRCNT</t>
  </si>
  <si>
    <t>OWN_NM_2ND</t>
  </si>
  <si>
    <t>VIEW_</t>
  </si>
  <si>
    <t>S_ODD_EVN</t>
  </si>
  <si>
    <t>S_FRAC</t>
  </si>
  <si>
    <t>S_ZIP_EXT</t>
  </si>
  <si>
    <t>USE_CODE</t>
  </si>
  <si>
    <t>RESP_CODE</t>
  </si>
  <si>
    <t>BEDS</t>
  </si>
  <si>
    <t>BATHS</t>
  </si>
  <si>
    <t>TOT_ROOMS</t>
  </si>
  <si>
    <t>CONDITION</t>
  </si>
  <si>
    <t>GARAGE</t>
  </si>
  <si>
    <t>CARPORT</t>
  </si>
  <si>
    <t>STALLS</t>
  </si>
  <si>
    <t>ADDITION</t>
  </si>
  <si>
    <t>REMODEL</t>
  </si>
  <si>
    <t>CENTRL_A_H</t>
  </si>
  <si>
    <t>GRG_CONV</t>
  </si>
  <si>
    <t>LND_PROB</t>
  </si>
  <si>
    <t>TOPO</t>
  </si>
  <si>
    <t>NUISANCE</t>
  </si>
  <si>
    <t>MOD_STR</t>
  </si>
  <si>
    <t>SETTING</t>
  </si>
  <si>
    <t>BLD_EFFYR</t>
  </si>
  <si>
    <t>TLA</t>
  </si>
  <si>
    <t>YR_PL_BLT</t>
  </si>
  <si>
    <t>POOL_SQ_FT</t>
  </si>
  <si>
    <t>POOL</t>
  </si>
  <si>
    <t>MSC_BLDG</t>
  </si>
  <si>
    <t>YR_BLT_MSC</t>
  </si>
  <si>
    <t>USE_DESC</t>
  </si>
  <si>
    <t>NET_RNT_AR</t>
  </si>
  <si>
    <t>BEDS1</t>
  </si>
  <si>
    <t>BEDS2</t>
  </si>
  <si>
    <t>BEDS3</t>
  </si>
  <si>
    <t>SQFT_PR_UT</t>
  </si>
  <si>
    <t>GARAGE2</t>
  </si>
  <si>
    <t>CARPORT2</t>
  </si>
  <si>
    <t>STALLS2</t>
  </si>
  <si>
    <t>GR_LND_AR</t>
  </si>
  <si>
    <t>LND_PROB2</t>
  </si>
  <si>
    <t>TOPO2</t>
  </si>
  <si>
    <t>NUISANCE2</t>
  </si>
  <si>
    <t>AMENITY</t>
  </si>
  <si>
    <t>YR_BUILT</t>
  </si>
  <si>
    <t>Shape_Leng</t>
  </si>
  <si>
    <t>FLD_AR_ID</t>
  </si>
  <si>
    <t>STUDY_TYP</t>
  </si>
  <si>
    <t>V_DATUM</t>
  </si>
  <si>
    <t>DEPTH</t>
  </si>
  <si>
    <t>LEN_UNIT</t>
  </si>
  <si>
    <t>VELOCITY</t>
  </si>
  <si>
    <t>VEL_UNIT</t>
  </si>
  <si>
    <t>AR_REVERT</t>
  </si>
  <si>
    <t>AR_SUBTRV</t>
  </si>
  <si>
    <t>BFE_REVERT</t>
  </si>
  <si>
    <t>DEP_REVERT</t>
  </si>
  <si>
    <t>DUAL_ZONE</t>
  </si>
  <si>
    <t>SOURCE_CIT</t>
  </si>
  <si>
    <t>SHAPE_Area</t>
  </si>
  <si>
    <t>OBJECTID_1</t>
  </si>
  <si>
    <t>Id</t>
  </si>
  <si>
    <t>grid_code</t>
  </si>
  <si>
    <t>Shape_Le_1</t>
  </si>
  <si>
    <t>Shape_Ar_1</t>
  </si>
  <si>
    <t>Shape_Le_2</t>
  </si>
  <si>
    <t>Shape_Ar_2</t>
  </si>
  <si>
    <t>Shape_Le_3</t>
  </si>
  <si>
    <t>86003</t>
  </si>
  <si>
    <t>U</t>
  </si>
  <si>
    <t>N</t>
  </si>
  <si>
    <t>1733</t>
  </si>
  <si>
    <t>23</t>
  </si>
  <si>
    <t>2</t>
  </si>
  <si>
    <t>4PLEX</t>
  </si>
  <si>
    <t>L</t>
  </si>
  <si>
    <t>0</t>
  </si>
  <si>
    <t>485</t>
  </si>
  <si>
    <t>NP</t>
  </si>
  <si>
    <t>FBFM1</t>
  </si>
  <si>
    <t>79024</t>
  </si>
  <si>
    <t>25</t>
  </si>
  <si>
    <t>APTS</t>
  </si>
  <si>
    <t>G</t>
  </si>
  <si>
    <t>131</t>
  </si>
  <si>
    <t>NAVD88</t>
  </si>
  <si>
    <t>Feet</t>
  </si>
  <si>
    <t>FIRM1</t>
  </si>
  <si>
    <t>I</t>
  </si>
  <si>
    <t>CHARLES KLINE MANAGEMENT INC</t>
  </si>
  <si>
    <t>41</t>
  </si>
  <si>
    <t>1434</t>
  </si>
  <si>
    <t>APT</t>
  </si>
  <si>
    <t>C</t>
  </si>
  <si>
    <t>546</t>
  </si>
  <si>
    <t>1692</t>
  </si>
  <si>
    <t>20</t>
  </si>
  <si>
    <t>62006</t>
  </si>
  <si>
    <t>ST ROSE/LIMA CATHOLIC CHURCH</t>
  </si>
  <si>
    <t>1140</t>
  </si>
  <si>
    <t>21</t>
  </si>
  <si>
    <t>95</t>
  </si>
  <si>
    <t>ARIDSSONE DONALD</t>
  </si>
  <si>
    <t>P</t>
  </si>
  <si>
    <t>H</t>
  </si>
  <si>
    <t>62058</t>
  </si>
  <si>
    <t>917</t>
  </si>
  <si>
    <t>1172</t>
  </si>
  <si>
    <t>26</t>
  </si>
  <si>
    <t>1125</t>
  </si>
  <si>
    <t>J</t>
  </si>
  <si>
    <t>BOWMAN JEFFREY A</t>
  </si>
  <si>
    <t>1215</t>
  </si>
  <si>
    <t>FERNANDEZ VERONICA</t>
  </si>
  <si>
    <t>24</t>
  </si>
  <si>
    <t>1910</t>
  </si>
  <si>
    <t>S</t>
  </si>
  <si>
    <t>1139</t>
  </si>
  <si>
    <t>Y</t>
  </si>
  <si>
    <t>474</t>
  </si>
  <si>
    <t>10</t>
  </si>
  <si>
    <t>1208</t>
  </si>
  <si>
    <t>1163</t>
  </si>
  <si>
    <t>4 PLEX</t>
  </si>
  <si>
    <t>1143</t>
  </si>
  <si>
    <t>1116</t>
  </si>
  <si>
    <t>641</t>
  </si>
  <si>
    <t>1106</t>
  </si>
  <si>
    <t>1136</t>
  </si>
  <si>
    <t>1926</t>
  </si>
  <si>
    <t>1237</t>
  </si>
  <si>
    <t>DUPLEX</t>
  </si>
  <si>
    <t>E</t>
  </si>
  <si>
    <t>1948</t>
  </si>
  <si>
    <t>818</t>
  </si>
  <si>
    <t>1214</t>
  </si>
  <si>
    <t>1207</t>
  </si>
  <si>
    <t>NADLER ERAN</t>
  </si>
  <si>
    <t>1152</t>
  </si>
  <si>
    <t>1955</t>
  </si>
  <si>
    <t>YOUNG DEBORAH</t>
  </si>
  <si>
    <t>3</t>
  </si>
  <si>
    <t>1157</t>
  </si>
  <si>
    <t>TRIPLEX</t>
  </si>
  <si>
    <t>ZHU YUHUI TRE</t>
  </si>
  <si>
    <t>1170</t>
  </si>
  <si>
    <t>1240</t>
  </si>
  <si>
    <t>1251</t>
  </si>
  <si>
    <t>62055</t>
  </si>
  <si>
    <t>1252</t>
  </si>
  <si>
    <t>1225</t>
  </si>
  <si>
    <t>62069</t>
  </si>
  <si>
    <t>BARBARA NIELSEN</t>
  </si>
  <si>
    <t>52</t>
  </si>
  <si>
    <t>05000</t>
  </si>
  <si>
    <t>FARR-GUTIERREZ CYNDEE L TRE</t>
  </si>
  <si>
    <t>1029</t>
  </si>
  <si>
    <t>566</t>
  </si>
  <si>
    <t>FIRM10</t>
  </si>
  <si>
    <t>BARRIENTOS MATT</t>
  </si>
  <si>
    <t>903</t>
  </si>
  <si>
    <t>1613</t>
  </si>
  <si>
    <t>RITA ALVIN R &amp; MADELINE TRE</t>
  </si>
  <si>
    <t>1623</t>
  </si>
  <si>
    <t>1966</t>
  </si>
  <si>
    <t>1619</t>
  </si>
  <si>
    <t>WEN JENNIFER YUPING</t>
  </si>
  <si>
    <t>1027</t>
  </si>
  <si>
    <t>1615</t>
  </si>
  <si>
    <t>1006</t>
  </si>
  <si>
    <t>1673</t>
  </si>
  <si>
    <t>CARASTRO LYNN R TRE</t>
  </si>
  <si>
    <t>1709</t>
  </si>
  <si>
    <t>1779</t>
  </si>
  <si>
    <t>1658</t>
  </si>
  <si>
    <t>1927</t>
  </si>
  <si>
    <t>C NOMURA</t>
  </si>
  <si>
    <t>1654</t>
  </si>
  <si>
    <t>1655</t>
  </si>
  <si>
    <t>1661</t>
  </si>
  <si>
    <t>JACOBS GREGORY R TRE</t>
  </si>
  <si>
    <t>618</t>
  </si>
  <si>
    <t>2003</t>
  </si>
  <si>
    <t>MOHR MARK J TRE</t>
  </si>
  <si>
    <t>1630</t>
  </si>
  <si>
    <t>1640</t>
  </si>
  <si>
    <t>1621</t>
  </si>
  <si>
    <t>WHITE KENNETH L TRE</t>
  </si>
  <si>
    <t>1008</t>
  </si>
  <si>
    <t>1591</t>
  </si>
  <si>
    <t>WESTMAN MARLENE A</t>
  </si>
  <si>
    <t>1055</t>
  </si>
  <si>
    <t>1940</t>
  </si>
  <si>
    <t>PERKINS MARY JANE TRE</t>
  </si>
  <si>
    <t>1714</t>
  </si>
  <si>
    <t>1767</t>
  </si>
  <si>
    <t>STEPHENS PROPERTY MANAGEMENT</t>
  </si>
  <si>
    <t>1641</t>
  </si>
  <si>
    <t>1706</t>
  </si>
  <si>
    <t>1936</t>
  </si>
  <si>
    <t>JIM HANNIGAN</t>
  </si>
  <si>
    <t>1608</t>
  </si>
  <si>
    <t>2365</t>
  </si>
  <si>
    <t>1015</t>
  </si>
  <si>
    <t>2356</t>
  </si>
  <si>
    <t>HOEY CHRISTINE A TRE</t>
  </si>
  <si>
    <t>FAULKNER DELLA L TRE</t>
  </si>
  <si>
    <t>2353</t>
  </si>
  <si>
    <t>2305</t>
  </si>
  <si>
    <t>YU JIE MING</t>
  </si>
  <si>
    <t>1760</t>
  </si>
  <si>
    <t>2537</t>
  </si>
  <si>
    <t>STEINER JAMES J &amp; DEITRA H</t>
  </si>
  <si>
    <t>936</t>
  </si>
  <si>
    <t>1700</t>
  </si>
  <si>
    <t>APARTS</t>
  </si>
  <si>
    <t>1886</t>
  </si>
  <si>
    <t>1740</t>
  </si>
  <si>
    <t>3 PLEX</t>
  </si>
  <si>
    <t>1888</t>
  </si>
  <si>
    <t>937</t>
  </si>
  <si>
    <t>1875</t>
  </si>
  <si>
    <t>05005</t>
  </si>
  <si>
    <t>829</t>
  </si>
  <si>
    <t>1722</t>
  </si>
  <si>
    <t>LISA GALLOWAY</t>
  </si>
  <si>
    <t>OMANIA RENATE H TRE</t>
  </si>
  <si>
    <t>1013</t>
  </si>
  <si>
    <t>2007</t>
  </si>
  <si>
    <t>437</t>
  </si>
  <si>
    <t>1037</t>
  </si>
  <si>
    <t>1516</t>
  </si>
  <si>
    <t>UNION BANK NA</t>
  </si>
  <si>
    <t>1019</t>
  </si>
  <si>
    <t>SEN HOUS</t>
  </si>
  <si>
    <t>2013</t>
  </si>
  <si>
    <t>WONG DENNIS</t>
  </si>
  <si>
    <t>K</t>
  </si>
  <si>
    <t>1970</t>
  </si>
  <si>
    <t>3205</t>
  </si>
  <si>
    <t>1905</t>
  </si>
  <si>
    <t>1992</t>
  </si>
  <si>
    <t>LACY TAMI MARIE</t>
  </si>
  <si>
    <t>1734</t>
  </si>
  <si>
    <t>1114</t>
  </si>
  <si>
    <t>1703</t>
  </si>
  <si>
    <t>06001</t>
  </si>
  <si>
    <t>GALLOWAY CARI JO TRE</t>
  </si>
  <si>
    <t>1626</t>
  </si>
  <si>
    <t>1919</t>
  </si>
  <si>
    <t>1872</t>
  </si>
  <si>
    <t>FIRM14</t>
  </si>
  <si>
    <t>85061</t>
  </si>
  <si>
    <t>1830</t>
  </si>
  <si>
    <t>1155</t>
  </si>
  <si>
    <t>1818</t>
  </si>
  <si>
    <t>1988</t>
  </si>
  <si>
    <t>JEAN KEETON</t>
  </si>
  <si>
    <t>1813</t>
  </si>
  <si>
    <t>1806</t>
  </si>
  <si>
    <t>1811</t>
  </si>
  <si>
    <t>1851</t>
  </si>
  <si>
    <t>1868</t>
  </si>
  <si>
    <t>1810</t>
  </si>
  <si>
    <t>85075</t>
  </si>
  <si>
    <t>1501</t>
  </si>
  <si>
    <t>MOOER LA RUE VERMON</t>
  </si>
  <si>
    <t>1801</t>
  </si>
  <si>
    <t>BUSTER LANNIE</t>
  </si>
  <si>
    <t>51</t>
  </si>
  <si>
    <t>1858</t>
  </si>
  <si>
    <t>1400</t>
  </si>
  <si>
    <t>1574</t>
  </si>
  <si>
    <t>TRAN LANCE</t>
  </si>
  <si>
    <t>11009</t>
  </si>
  <si>
    <t>3478</t>
  </si>
  <si>
    <t>11019</t>
  </si>
  <si>
    <t>CITIGROUP USA INC</t>
  </si>
  <si>
    <t>28</t>
  </si>
  <si>
    <t>11029</t>
  </si>
  <si>
    <t>FANG FANG</t>
  </si>
  <si>
    <t>2859</t>
  </si>
  <si>
    <t>1964</t>
  </si>
  <si>
    <t>43</t>
  </si>
  <si>
    <t>KOLAHDOOZ MOHAMMAD</t>
  </si>
  <si>
    <t>2862</t>
  </si>
  <si>
    <t>JIMENEZ SAMUEL</t>
  </si>
  <si>
    <t>2800</t>
  </si>
  <si>
    <t>08002</t>
  </si>
  <si>
    <t>5251</t>
  </si>
  <si>
    <t>5238</t>
  </si>
  <si>
    <t>HUANG AI MING</t>
  </si>
  <si>
    <t>5250</t>
  </si>
  <si>
    <t>1949</t>
  </si>
  <si>
    <t>1953</t>
  </si>
  <si>
    <t>5144</t>
  </si>
  <si>
    <t>3116</t>
  </si>
  <si>
    <t>FIRM17</t>
  </si>
  <si>
    <t>5131</t>
  </si>
  <si>
    <t>SPEARS DENNIS</t>
  </si>
  <si>
    <t>YAZHENG SONG</t>
  </si>
  <si>
    <t>5100</t>
  </si>
  <si>
    <t>DINEV MICHAEL M TRE</t>
  </si>
  <si>
    <t>5138</t>
  </si>
  <si>
    <t>LOWE MARGO L TRE</t>
  </si>
  <si>
    <t>5130</t>
  </si>
  <si>
    <t>1935</t>
  </si>
  <si>
    <t>VAC</t>
  </si>
  <si>
    <t>K &amp; S CO INC</t>
  </si>
  <si>
    <t>5227</t>
  </si>
  <si>
    <t>5219</t>
  </si>
  <si>
    <t>5137</t>
  </si>
  <si>
    <t>4942</t>
  </si>
  <si>
    <t>3200</t>
  </si>
  <si>
    <t>TING ALLEN</t>
  </si>
  <si>
    <t>5140</t>
  </si>
  <si>
    <t>4946</t>
  </si>
  <si>
    <t>5116</t>
  </si>
  <si>
    <t>LIN XIAOLING</t>
  </si>
  <si>
    <t>5119</t>
  </si>
  <si>
    <t>5101</t>
  </si>
  <si>
    <t>5111</t>
  </si>
  <si>
    <t>1624</t>
  </si>
  <si>
    <t>5134</t>
  </si>
  <si>
    <t>1961</t>
  </si>
  <si>
    <t>5132</t>
  </si>
  <si>
    <t>5110</t>
  </si>
  <si>
    <t>5118</t>
  </si>
  <si>
    <t>GLAZIER J LYNN TRE</t>
  </si>
  <si>
    <t>5147</t>
  </si>
  <si>
    <t>5-PLEX</t>
  </si>
  <si>
    <t>5135</t>
  </si>
  <si>
    <t>5235</t>
  </si>
  <si>
    <t>5133</t>
  </si>
  <si>
    <t>1959</t>
  </si>
  <si>
    <t>5145</t>
  </si>
  <si>
    <t>5207</t>
  </si>
  <si>
    <t>DEPIANTO DAVID E &amp; SUSAN TRE</t>
  </si>
  <si>
    <t>5924</t>
  </si>
  <si>
    <t>3075</t>
  </si>
  <si>
    <t>APART</t>
  </si>
  <si>
    <t>08063</t>
  </si>
  <si>
    <t>5402</t>
  </si>
  <si>
    <t>5823</t>
  </si>
  <si>
    <t>CHAN FLORENCE</t>
  </si>
  <si>
    <t>5945</t>
  </si>
  <si>
    <t>1996</t>
  </si>
  <si>
    <t>5949</t>
  </si>
  <si>
    <t>1929</t>
  </si>
  <si>
    <t>TING CHAOCHING</t>
  </si>
  <si>
    <t>5400</t>
  </si>
  <si>
    <t>6 PLEX</t>
  </si>
  <si>
    <t>1987</t>
  </si>
  <si>
    <t>08133</t>
  </si>
  <si>
    <t>PACIFIC AMERICAN PROPERTIES</t>
  </si>
  <si>
    <t>3421</t>
  </si>
  <si>
    <t>29</t>
  </si>
  <si>
    <t>2136</t>
  </si>
  <si>
    <t>2205</t>
  </si>
  <si>
    <t>2214</t>
  </si>
  <si>
    <t>FLORES ANGELICA M</t>
  </si>
  <si>
    <t>335</t>
  </si>
  <si>
    <t>2349</t>
  </si>
  <si>
    <t>2348</t>
  </si>
  <si>
    <t>2120</t>
  </si>
  <si>
    <t>2230</t>
  </si>
  <si>
    <t>326</t>
  </si>
  <si>
    <t>ANDERSON DORCIA A TRE</t>
  </si>
  <si>
    <t>2122</t>
  </si>
  <si>
    <t>418</t>
  </si>
  <si>
    <t>2249</t>
  </si>
  <si>
    <t>2250</t>
  </si>
  <si>
    <t>2248</t>
  </si>
  <si>
    <t>2247</t>
  </si>
  <si>
    <t>2347</t>
  </si>
  <si>
    <t>08116</t>
  </si>
  <si>
    <t>MSH GROUP</t>
  </si>
  <si>
    <t>2001</t>
  </si>
  <si>
    <t>5</t>
  </si>
  <si>
    <t>IND CNDO</t>
  </si>
  <si>
    <t>1968</t>
  </si>
  <si>
    <t>08001</t>
  </si>
  <si>
    <t>4037</t>
  </si>
  <si>
    <t>1913</t>
  </si>
  <si>
    <t>W B CLAUSEN JR</t>
  </si>
  <si>
    <t>4114</t>
  </si>
  <si>
    <t>08050</t>
  </si>
  <si>
    <t>4541</t>
  </si>
  <si>
    <t>1984</t>
  </si>
  <si>
    <t>DEROOY CAROLA</t>
  </si>
  <si>
    <t>BENSON SALLY M TRE</t>
  </si>
  <si>
    <t>4113</t>
  </si>
  <si>
    <t>DAVID GREGORY</t>
  </si>
  <si>
    <t>08120</t>
  </si>
  <si>
    <t>204</t>
  </si>
  <si>
    <t>1837</t>
  </si>
  <si>
    <t>2 DUPLEX</t>
  </si>
  <si>
    <t>08126</t>
  </si>
  <si>
    <t>1836</t>
  </si>
  <si>
    <t>1814</t>
  </si>
  <si>
    <t>1527</t>
  </si>
  <si>
    <t>378</t>
  </si>
  <si>
    <t>STEVE K FOX</t>
  </si>
  <si>
    <t>1843</t>
  </si>
  <si>
    <t>Apartment, 5 units or more</t>
  </si>
  <si>
    <t>Condos, cooperatives*</t>
  </si>
  <si>
    <t>Vacant Multi Family*</t>
  </si>
  <si>
    <t>Total apartments</t>
  </si>
  <si>
    <t>*parcels not units</t>
  </si>
  <si>
    <t>Land Use Type: Single Family Residential</t>
  </si>
  <si>
    <t>Total Single Family Residential Parcels</t>
  </si>
  <si>
    <t>Total Single Family Residential Acres</t>
  </si>
  <si>
    <t>Single Family Attached</t>
  </si>
  <si>
    <t>Single Family Detached</t>
  </si>
  <si>
    <t>Single Family Vacant</t>
  </si>
  <si>
    <t>Vacant, unbuildable**</t>
  </si>
  <si>
    <t xml:space="preserve">**not reported out in vulnerability assessments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</si>
</sst>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0000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9"/>
      <color rgb="FFFFFFFF"/>
      <name val="Arial"/>
    </font>
    <font>
      <b/>
      <sz val="9"/>
      <color theme="0"/>
      <name val="Arial"/>
    </font>
    <font>
      <b/>
      <sz val="11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66">
    <xf numFmtId="0" fontId="0" fillId="0" borderId="0" xfId="0"/>
    <xf numFmtId="0" fontId="2" fillId="0" borderId="1" xfId="1" applyFont="1" applyFill="1" applyBorder="1"/>
    <xf numFmtId="2" fontId="1" fillId="0" borderId="0" xfId="1" applyNumberFormat="1"/>
    <xf numFmtId="2" fontId="1" fillId="0" borderId="0" xfId="1" applyNumberFormat="1" applyAlignment="1">
      <alignment horizontal="center"/>
    </xf>
    <xf numFmtId="0" fontId="1" fillId="0" borderId="0" xfId="1"/>
    <xf numFmtId="0" fontId="2" fillId="0" borderId="1" xfId="1" applyFont="1" applyFill="1" applyBorder="1" applyAlignment="1">
      <alignment horizontal="left"/>
    </xf>
    <xf numFmtId="2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2" fillId="0" borderId="0" xfId="1" applyFont="1"/>
    <xf numFmtId="0" fontId="2" fillId="0" borderId="1" xfId="1" applyFont="1" applyFill="1" applyBorder="1" applyAlignment="1">
      <alignment wrapText="1"/>
    </xf>
    <xf numFmtId="2" fontId="1" fillId="0" borderId="0" xfId="1" applyNumberFormat="1" applyAlignment="1">
      <alignment wrapText="1"/>
    </xf>
    <xf numFmtId="2" fontId="1" fillId="0" borderId="0" xfId="1" applyNumberFormat="1" applyAlignment="1">
      <alignment horizontal="center" wrapText="1"/>
    </xf>
    <xf numFmtId="0" fontId="1" fillId="0" borderId="0" xfId="1" applyAlignment="1">
      <alignment wrapText="1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/>
    <xf numFmtId="0" fontId="1" fillId="0" borderId="1" xfId="1" applyBorder="1"/>
    <xf numFmtId="0" fontId="2" fillId="0" borderId="2" xfId="1" applyFont="1" applyFill="1" applyBorder="1" applyAlignment="1"/>
    <xf numFmtId="2" fontId="1" fillId="0" borderId="0" xfId="1" applyNumberFormat="1" applyFont="1" applyFill="1" applyAlignment="1">
      <alignment horizontal="center"/>
    </xf>
    <xf numFmtId="0" fontId="1" fillId="0" borderId="0" xfId="1" applyFont="1" applyFill="1"/>
    <xf numFmtId="2" fontId="1" fillId="2" borderId="3" xfId="1" applyNumberFormat="1" applyFont="1" applyFill="1" applyBorder="1" applyAlignment="1">
      <alignment horizontal="center"/>
    </xf>
    <xf numFmtId="2" fontId="1" fillId="3" borderId="4" xfId="1" applyNumberFormat="1" applyFont="1" applyFill="1" applyBorder="1" applyAlignment="1">
      <alignment horizontal="center"/>
    </xf>
    <xf numFmtId="0" fontId="1" fillId="0" borderId="0" xfId="1" applyFont="1"/>
    <xf numFmtId="0" fontId="1" fillId="0" borderId="1" xfId="1" applyFont="1" applyFill="1" applyBorder="1" applyAlignment="1"/>
    <xf numFmtId="2" fontId="1" fillId="2" borderId="4" xfId="1" applyNumberFormat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" fontId="1" fillId="2" borderId="3" xfId="1" applyNumberFormat="1" applyFont="1" applyFill="1" applyBorder="1" applyAlignment="1">
      <alignment horizontal="center"/>
    </xf>
    <xf numFmtId="2" fontId="1" fillId="3" borderId="3" xfId="1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" fontId="2" fillId="2" borderId="3" xfId="1" applyNumberFormat="1" applyFont="1" applyFill="1" applyBorder="1" applyAlignment="1">
      <alignment horizontal="center"/>
    </xf>
    <xf numFmtId="2" fontId="2" fillId="3" borderId="3" xfId="1" applyNumberFormat="1" applyFont="1" applyFill="1" applyBorder="1" applyAlignment="1">
      <alignment horizontal="center"/>
    </xf>
    <xf numFmtId="0" fontId="2" fillId="0" borderId="0" xfId="1" applyFont="1" applyFill="1"/>
    <xf numFmtId="0" fontId="4" fillId="0" borderId="0" xfId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2" fontId="2" fillId="0" borderId="0" xfId="1" applyNumberFormat="1" applyFont="1" applyFill="1"/>
    <xf numFmtId="2" fontId="2" fillId="0" borderId="0" xfId="1" applyNumberFormat="1" applyFont="1" applyFill="1" applyAlignment="1">
      <alignment horizontal="center"/>
    </xf>
    <xf numFmtId="0" fontId="1" fillId="0" borderId="1" xfId="1" applyFont="1" applyBorder="1"/>
    <xf numFmtId="2" fontId="1" fillId="0" borderId="0" xfId="1" applyNumberFormat="1" applyFont="1" applyFill="1"/>
    <xf numFmtId="1" fontId="3" fillId="3" borderId="4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1" fontId="1" fillId="3" borderId="4" xfId="1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1" fontId="3" fillId="4" borderId="7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0" fontId="1" fillId="0" borderId="0" xfId="1" applyFill="1"/>
    <xf numFmtId="1" fontId="1" fillId="3" borderId="3" xfId="1" applyNumberFormat="1" applyFont="1" applyFill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2" fontId="3" fillId="3" borderId="4" xfId="1" applyNumberFormat="1" applyFont="1" applyFill="1" applyBorder="1" applyAlignment="1">
      <alignment horizontal="center"/>
    </xf>
    <xf numFmtId="2" fontId="1" fillId="0" borderId="0" xfId="1" applyNumberFormat="1" applyFont="1"/>
    <xf numFmtId="1" fontId="3" fillId="5" borderId="4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3" fillId="4" borderId="7" xfId="1" applyNumberFormat="1" applyFont="1" applyFill="1" applyBorder="1" applyAlignment="1">
      <alignment horizontal="center"/>
    </xf>
    <xf numFmtId="164" fontId="3" fillId="5" borderId="4" xfId="1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1" fillId="0" borderId="0" xfId="1" applyNumberFormat="1"/>
    <xf numFmtId="1" fontId="2" fillId="0" borderId="0" xfId="1" applyNumberFormat="1" applyFont="1" applyAlignment="1">
      <alignment horizontal="left"/>
    </xf>
    <xf numFmtId="2" fontId="2" fillId="0" borderId="0" xfId="1" applyNumberFormat="1" applyFont="1"/>
    <xf numFmtId="0" fontId="2" fillId="0" borderId="0" xfId="1" applyNumberFormat="1" applyFont="1"/>
    <xf numFmtId="0" fontId="1" fillId="0" borderId="0" xfId="1" applyNumberFormat="1" applyAlignment="1">
      <alignment wrapText="1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" fillId="2" borderId="3" xfId="1" applyFont="1" applyFill="1" applyBorder="1" applyAlignment="1">
      <alignment horizontal="left"/>
    </xf>
    <xf numFmtId="0" fontId="1" fillId="3" borderId="4" xfId="1" applyFont="1" applyFill="1" applyBorder="1" applyAlignment="1">
      <alignment horizontal="left"/>
    </xf>
    <xf numFmtId="0" fontId="1" fillId="3" borderId="4" xfId="1" applyNumberFormat="1" applyFont="1" applyFill="1" applyBorder="1" applyAlignment="1">
      <alignment horizontal="left"/>
    </xf>
    <xf numFmtId="0" fontId="1" fillId="2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" fillId="3" borderId="4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2" fontId="2" fillId="3" borderId="4" xfId="1" applyNumberFormat="1" applyFont="1" applyFill="1" applyBorder="1" applyAlignment="1">
      <alignment horizontal="center"/>
    </xf>
    <xf numFmtId="0" fontId="2" fillId="3" borderId="4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3" fillId="4" borderId="4" xfId="1" applyFont="1" applyFill="1" applyBorder="1" applyAlignment="1">
      <alignment horizontal="left"/>
    </xf>
    <xf numFmtId="2" fontId="3" fillId="4" borderId="3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2" fontId="3" fillId="4" borderId="2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left"/>
    </xf>
    <xf numFmtId="0" fontId="3" fillId="4" borderId="7" xfId="1" applyFont="1" applyFill="1" applyBorder="1" applyAlignment="1">
      <alignment horizontal="center"/>
    </xf>
    <xf numFmtId="1" fontId="3" fillId="4" borderId="2" xfId="1" applyNumberFormat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1" fontId="4" fillId="4" borderId="7" xfId="1" applyNumberFormat="1" applyFont="1" applyFill="1" applyBorder="1" applyAlignment="1">
      <alignment horizontal="center"/>
    </xf>
    <xf numFmtId="0" fontId="1" fillId="0" borderId="0" xfId="1" applyNumberFormat="1" applyFont="1" applyFill="1"/>
    <xf numFmtId="0" fontId="2" fillId="0" borderId="2" xfId="1" applyFont="1" applyBorder="1"/>
    <xf numFmtId="0" fontId="1" fillId="6" borderId="3" xfId="1" applyFont="1" applyFill="1" applyBorder="1" applyAlignment="1">
      <alignment horizontal="left"/>
    </xf>
    <xf numFmtId="2" fontId="1" fillId="6" borderId="4" xfId="1" applyNumberFormat="1" applyFont="1" applyFill="1" applyBorder="1" applyAlignment="1">
      <alignment horizontal="center"/>
    </xf>
    <xf numFmtId="0" fontId="1" fillId="6" borderId="4" xfId="1" applyFont="1" applyFill="1" applyBorder="1" applyAlignment="1">
      <alignment horizontal="left"/>
    </xf>
    <xf numFmtId="0" fontId="1" fillId="6" borderId="4" xfId="1" applyNumberFormat="1" applyFont="1" applyFill="1" applyBorder="1" applyAlignment="1">
      <alignment horizontal="left"/>
    </xf>
    <xf numFmtId="0" fontId="3" fillId="6" borderId="3" xfId="1" applyFont="1" applyFill="1" applyBorder="1" applyAlignment="1">
      <alignment horizontal="center"/>
    </xf>
    <xf numFmtId="2" fontId="3" fillId="6" borderId="3" xfId="1" applyNumberFormat="1" applyFont="1" applyFill="1" applyBorder="1" applyAlignment="1">
      <alignment horizontal="center"/>
    </xf>
    <xf numFmtId="0" fontId="3" fillId="6" borderId="3" xfId="1" applyNumberFormat="1" applyFont="1" applyFill="1" applyBorder="1" applyAlignment="1">
      <alignment horizontal="center"/>
    </xf>
    <xf numFmtId="0" fontId="1" fillId="6" borderId="3" xfId="1" applyFont="1" applyFill="1" applyBorder="1" applyAlignment="1">
      <alignment horizontal="center"/>
    </xf>
    <xf numFmtId="0" fontId="1" fillId="6" borderId="4" xfId="1" applyNumberFormat="1" applyFont="1" applyFill="1" applyBorder="1" applyAlignment="1">
      <alignment horizontal="center"/>
    </xf>
    <xf numFmtId="0" fontId="1" fillId="6" borderId="4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2" fontId="2" fillId="6" borderId="4" xfId="1" applyNumberFormat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4" xfId="1" applyNumberFormat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1" fillId="7" borderId="4" xfId="1" applyFont="1" applyFill="1" applyBorder="1" applyAlignment="1">
      <alignment horizontal="left"/>
    </xf>
    <xf numFmtId="2" fontId="1" fillId="7" borderId="4" xfId="1" applyNumberFormat="1" applyFont="1" applyFill="1" applyBorder="1" applyAlignment="1">
      <alignment horizontal="center"/>
    </xf>
    <xf numFmtId="0" fontId="3" fillId="8" borderId="4" xfId="1" applyFont="1" applyFill="1" applyBorder="1" applyAlignment="1">
      <alignment horizontal="left"/>
    </xf>
    <xf numFmtId="2" fontId="3" fillId="8" borderId="3" xfId="1" applyNumberFormat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2" fontId="3" fillId="7" borderId="3" xfId="1" applyNumberFormat="1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/>
    </xf>
    <xf numFmtId="2" fontId="3" fillId="8" borderId="2" xfId="1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left"/>
    </xf>
    <xf numFmtId="0" fontId="3" fillId="7" borderId="2" xfId="1" applyFont="1" applyFill="1" applyBorder="1" applyAlignment="1">
      <alignment horizontal="center"/>
    </xf>
    <xf numFmtId="2" fontId="3" fillId="7" borderId="2" xfId="1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left" wrapText="1"/>
    </xf>
    <xf numFmtId="1" fontId="3" fillId="7" borderId="2" xfId="1" applyNumberFormat="1" applyFont="1" applyFill="1" applyBorder="1" applyAlignment="1">
      <alignment horizontal="center"/>
    </xf>
    <xf numFmtId="1" fontId="3" fillId="8" borderId="2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left"/>
    </xf>
    <xf numFmtId="1" fontId="4" fillId="7" borderId="2" xfId="1" applyNumberFormat="1" applyFont="1" applyFill="1" applyBorder="1" applyAlignment="1">
      <alignment horizontal="center"/>
    </xf>
    <xf numFmtId="2" fontId="4" fillId="7" borderId="2" xfId="1" applyNumberFormat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1" fontId="4" fillId="7" borderId="4" xfId="1" applyNumberFormat="1" applyFont="1" applyFill="1" applyBorder="1" applyAlignment="1">
      <alignment horizontal="center"/>
    </xf>
    <xf numFmtId="2" fontId="4" fillId="7" borderId="4" xfId="1" applyNumberFormat="1" applyFont="1" applyFill="1" applyBorder="1" applyAlignment="1">
      <alignment horizontal="center"/>
    </xf>
    <xf numFmtId="165" fontId="1" fillId="0" borderId="0" xfId="1" applyNumberFormat="1"/>
    <xf numFmtId="166" fontId="1" fillId="0" borderId="0" xfId="1" applyNumberFormat="1"/>
    <xf numFmtId="165" fontId="2" fillId="0" borderId="0" xfId="1" applyNumberFormat="1" applyFont="1"/>
    <xf numFmtId="166" fontId="2" fillId="0" borderId="0" xfId="1" applyNumberFormat="1" applyFont="1"/>
    <xf numFmtId="165" fontId="1" fillId="0" borderId="0" xfId="1" applyNumberFormat="1" applyAlignment="1">
      <alignment wrapText="1"/>
    </xf>
    <xf numFmtId="166" fontId="1" fillId="0" borderId="0" xfId="1" applyNumberFormat="1" applyAlignment="1">
      <alignment wrapText="1"/>
    </xf>
    <xf numFmtId="165" fontId="1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166" fontId="1" fillId="3" borderId="4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6" fontId="3" fillId="3" borderId="3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165" fontId="2" fillId="2" borderId="3" xfId="1" applyNumberFormat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6" fontId="2" fillId="3" borderId="3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166" fontId="3" fillId="4" borderId="3" xfId="1" applyNumberFormat="1" applyFont="1" applyFill="1" applyBorder="1" applyAlignment="1">
      <alignment horizontal="center"/>
    </xf>
    <xf numFmtId="166" fontId="3" fillId="4" borderId="2" xfId="1" applyNumberFormat="1" applyFont="1" applyFill="1" applyBorder="1" applyAlignment="1">
      <alignment horizontal="center"/>
    </xf>
    <xf numFmtId="165" fontId="1" fillId="0" borderId="0" xfId="1" applyNumberFormat="1" applyFont="1"/>
    <xf numFmtId="0" fontId="3" fillId="5" borderId="4" xfId="1" applyFont="1" applyFill="1" applyBorder="1" applyAlignment="1">
      <alignment horizontal="center"/>
    </xf>
    <xf numFmtId="166" fontId="3" fillId="5" borderId="4" xfId="1" applyNumberFormat="1" applyFont="1" applyFill="1" applyBorder="1" applyAlignment="1">
      <alignment horizontal="center"/>
    </xf>
    <xf numFmtId="2" fontId="3" fillId="5" borderId="4" xfId="1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6" fontId="2" fillId="3" borderId="4" xfId="1" applyNumberFormat="1" applyFont="1" applyFill="1" applyBorder="1" applyAlignment="1">
      <alignment horizontal="center"/>
    </xf>
    <xf numFmtId="0" fontId="1" fillId="0" borderId="0" xfId="1" applyNumberFormat="1" applyFont="1"/>
    <xf numFmtId="165" fontId="1" fillId="6" borderId="4" xfId="1" applyNumberFormat="1" applyFont="1" applyFill="1" applyBorder="1" applyAlignment="1">
      <alignment horizontal="center"/>
    </xf>
    <xf numFmtId="166" fontId="1" fillId="6" borderId="4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166" fontId="3" fillId="6" borderId="3" xfId="1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2" fontId="1" fillId="6" borderId="4" xfId="1" applyNumberFormat="1" applyFill="1" applyBorder="1" applyAlignment="1">
      <alignment horizontal="center"/>
    </xf>
    <xf numFmtId="0" fontId="4" fillId="0" borderId="5" xfId="1" applyFont="1" applyBorder="1" applyAlignment="1">
      <alignment horizontal="left"/>
    </xf>
    <xf numFmtId="165" fontId="2" fillId="6" borderId="4" xfId="1" applyNumberFormat="1" applyFont="1" applyFill="1" applyBorder="1" applyAlignment="1">
      <alignment horizontal="center"/>
    </xf>
    <xf numFmtId="166" fontId="2" fillId="6" borderId="4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165" fontId="1" fillId="7" borderId="4" xfId="1" applyNumberFormat="1" applyFont="1" applyFill="1" applyBorder="1" applyAlignment="1">
      <alignment horizontal="center"/>
    </xf>
    <xf numFmtId="166" fontId="1" fillId="7" borderId="4" xfId="1" applyNumberFormat="1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6" fontId="3" fillId="7" borderId="3" xfId="1" applyNumberFormat="1" applyFont="1" applyFill="1" applyBorder="1" applyAlignment="1">
      <alignment horizontal="center"/>
    </xf>
    <xf numFmtId="166" fontId="3" fillId="7" borderId="2" xfId="1" applyNumberFormat="1" applyFont="1" applyFill="1" applyBorder="1" applyAlignment="1">
      <alignment horizontal="center"/>
    </xf>
    <xf numFmtId="166" fontId="1" fillId="7" borderId="4" xfId="1" applyNumberFormat="1" applyFill="1" applyBorder="1" applyAlignment="1">
      <alignment horizontal="center"/>
    </xf>
    <xf numFmtId="165" fontId="4" fillId="7" borderId="2" xfId="1" applyNumberFormat="1" applyFont="1" applyFill="1" applyBorder="1" applyAlignment="1">
      <alignment horizontal="center"/>
    </xf>
    <xf numFmtId="166" fontId="4" fillId="7" borderId="2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5" fontId="3" fillId="7" borderId="2" xfId="1" applyNumberFormat="1" applyFont="1" applyFill="1" applyBorder="1" applyAlignment="1">
      <alignment horizontal="center"/>
    </xf>
    <xf numFmtId="2" fontId="3" fillId="9" borderId="4" xfId="1" applyNumberFormat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2" fontId="3" fillId="7" borderId="4" xfId="1" applyNumberFormat="1" applyFont="1" applyFill="1" applyBorder="1" applyAlignment="1">
      <alignment horizontal="center"/>
    </xf>
    <xf numFmtId="166" fontId="3" fillId="7" borderId="4" xfId="1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center"/>
    </xf>
    <xf numFmtId="166" fontId="4" fillId="7" borderId="4" xfId="1" applyNumberFormat="1" applyFont="1" applyFill="1" applyBorder="1" applyAlignment="1">
      <alignment horizontal="center"/>
    </xf>
    <xf numFmtId="1" fontId="1" fillId="0" borderId="0" xfId="1" applyNumberFormat="1" applyAlignment="1">
      <alignment horizontal="right"/>
    </xf>
    <xf numFmtId="1" fontId="1" fillId="0" borderId="0" xfId="1" applyNumberFormat="1"/>
    <xf numFmtId="1" fontId="1" fillId="0" borderId="9" xfId="1" applyNumberFormat="1" applyBorder="1"/>
    <xf numFmtId="1" fontId="2" fillId="0" borderId="0" xfId="1" applyNumberFormat="1" applyFont="1"/>
    <xf numFmtId="2" fontId="2" fillId="0" borderId="0" xfId="1" applyNumberFormat="1" applyFont="1" applyAlignment="1">
      <alignment wrapText="1"/>
    </xf>
    <xf numFmtId="1" fontId="2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 applyAlignment="1">
      <alignment horizontal="right"/>
    </xf>
    <xf numFmtId="1" fontId="5" fillId="0" borderId="0" xfId="1" applyNumberFormat="1" applyFont="1"/>
    <xf numFmtId="1" fontId="6" fillId="10" borderId="2" xfId="1" applyNumberFormat="1" applyFont="1" applyFill="1" applyBorder="1"/>
    <xf numFmtId="2" fontId="6" fillId="10" borderId="7" xfId="1" applyNumberFormat="1" applyFont="1" applyFill="1" applyBorder="1" applyAlignment="1">
      <alignment vertical="center"/>
    </xf>
    <xf numFmtId="1" fontId="7" fillId="0" borderId="4" xfId="1" applyNumberFormat="1" applyFont="1" applyBorder="1"/>
    <xf numFmtId="1" fontId="7" fillId="0" borderId="4" xfId="1" applyNumberFormat="1" applyFont="1" applyBorder="1" applyAlignment="1">
      <alignment horizontal="left"/>
    </xf>
    <xf numFmtId="2" fontId="7" fillId="10" borderId="10" xfId="1" applyNumberFormat="1" applyFont="1" applyFill="1" applyBorder="1"/>
    <xf numFmtId="1" fontId="6" fillId="10" borderId="11" xfId="1" applyNumberFormat="1" applyFont="1" applyFill="1" applyBorder="1" applyAlignment="1">
      <alignment wrapText="1"/>
    </xf>
    <xf numFmtId="1" fontId="7" fillId="0" borderId="6" xfId="1" applyNumberFormat="1" applyFont="1" applyBorder="1"/>
    <xf numFmtId="1" fontId="7" fillId="0" borderId="11" xfId="1" applyNumberFormat="1" applyFont="1" applyBorder="1"/>
    <xf numFmtId="1" fontId="1" fillId="0" borderId="0" xfId="1" applyNumberFormat="1" applyAlignment="1">
      <alignment horizontal="right" wrapText="1"/>
    </xf>
    <xf numFmtId="1" fontId="8" fillId="11" borderId="2" xfId="1" applyNumberFormat="1" applyFont="1" applyFill="1" applyBorder="1" applyAlignment="1">
      <alignment horizontal="right"/>
    </xf>
    <xf numFmtId="1" fontId="8" fillId="11" borderId="7" xfId="1" applyNumberFormat="1" applyFont="1" applyFill="1" applyBorder="1" applyAlignment="1">
      <alignment wrapText="1"/>
    </xf>
    <xf numFmtId="1" fontId="9" fillId="12" borderId="7" xfId="1" applyNumberFormat="1" applyFont="1" applyFill="1" applyBorder="1" applyAlignment="1">
      <alignment horizontal="right"/>
    </xf>
    <xf numFmtId="1" fontId="9" fillId="12" borderId="7" xfId="1" applyNumberFormat="1" applyFont="1" applyFill="1" applyBorder="1" applyAlignment="1">
      <alignment horizontal="left" wrapText="1"/>
    </xf>
    <xf numFmtId="1" fontId="6" fillId="10" borderId="4" xfId="1" applyNumberFormat="1" applyFont="1" applyFill="1" applyBorder="1" applyAlignment="1">
      <alignment horizontal="center"/>
    </xf>
    <xf numFmtId="1" fontId="6" fillId="10" borderId="4" xfId="1" applyNumberFormat="1" applyFont="1" applyFill="1" applyBorder="1"/>
    <xf numFmtId="1" fontId="7" fillId="0" borderId="4" xfId="1" applyNumberFormat="1" applyFont="1" applyBorder="1" applyAlignment="1">
      <alignment horizontal="center"/>
    </xf>
    <xf numFmtId="1" fontId="9" fillId="12" borderId="2" xfId="1" applyNumberFormat="1" applyFont="1" applyFill="1" applyBorder="1" applyAlignment="1">
      <alignment horizontal="center" vertical="center" wrapText="1"/>
    </xf>
    <xf numFmtId="1" fontId="9" fillId="12" borderId="7" xfId="1" applyNumberFormat="1" applyFont="1" applyFill="1" applyBorder="1" applyAlignment="1">
      <alignment horizontal="center" vertical="center" wrapText="1"/>
    </xf>
    <xf numFmtId="1" fontId="9" fillId="12" borderId="7" xfId="1" applyNumberFormat="1" applyFont="1" applyFill="1" applyBorder="1" applyAlignment="1">
      <alignment vertical="center" wrapText="1"/>
    </xf>
    <xf numFmtId="1" fontId="1" fillId="0" borderId="0" xfId="1" applyNumberFormat="1" applyAlignment="1">
      <alignment wrapText="1"/>
    </xf>
    <xf numFmtId="1" fontId="1" fillId="0" borderId="9" xfId="1" applyNumberFormat="1" applyBorder="1" applyAlignment="1">
      <alignment wrapText="1"/>
    </xf>
    <xf numFmtId="1" fontId="9" fillId="12" borderId="12" xfId="1" applyNumberFormat="1" applyFont="1" applyFill="1" applyBorder="1"/>
    <xf numFmtId="1" fontId="9" fillId="12" borderId="13" xfId="1" applyNumberFormat="1" applyFont="1" applyFill="1" applyBorder="1"/>
    <xf numFmtId="1" fontId="9" fillId="12" borderId="13" xfId="1" applyNumberFormat="1" applyFont="1" applyFill="1" applyBorder="1" applyAlignment="1">
      <alignment horizontal="center"/>
    </xf>
    <xf numFmtId="1" fontId="9" fillId="12" borderId="11" xfId="1" applyNumberFormat="1" applyFont="1" applyFill="1" applyBorder="1"/>
    <xf numFmtId="1" fontId="3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 wrapText="1"/>
    </xf>
    <xf numFmtId="1" fontId="2" fillId="0" borderId="9" xfId="1" applyNumberFormat="1" applyFont="1" applyBorder="1" applyAlignment="1">
      <alignment wrapText="1"/>
    </xf>
    <xf numFmtId="1" fontId="2" fillId="0" borderId="0" xfId="1" applyNumberFormat="1" applyFont="1" applyAlignment="1">
      <alignment horizontal="right" wrapText="1" indent="1"/>
    </xf>
    <xf numFmtId="1" fontId="2" fillId="0" borderId="0" xfId="1" applyNumberFormat="1" applyFont="1" applyAlignment="1">
      <alignment horizontal="right"/>
    </xf>
    <xf numFmtId="1" fontId="2" fillId="0" borderId="9" xfId="1" applyNumberFormat="1" applyFont="1" applyBorder="1"/>
    <xf numFmtId="2" fontId="2" fillId="0" borderId="0" xfId="1" applyNumberFormat="1" applyFont="1" applyAlignment="1">
      <alignment horizontal="right" wrapText="1"/>
    </xf>
    <xf numFmtId="1" fontId="2" fillId="0" borderId="9" xfId="1" applyNumberFormat="1" applyFont="1" applyBorder="1" applyAlignment="1">
      <alignment horizontal="right" wrapText="1"/>
    </xf>
    <xf numFmtId="2" fontId="2" fillId="0" borderId="14" xfId="1" applyNumberFormat="1" applyFont="1" applyBorder="1" applyAlignment="1">
      <alignment horizontal="right" wrapText="1"/>
    </xf>
    <xf numFmtId="1" fontId="2" fillId="0" borderId="14" xfId="1" applyNumberFormat="1" applyFont="1" applyBorder="1" applyAlignment="1">
      <alignment horizontal="right" wrapText="1"/>
    </xf>
    <xf numFmtId="1" fontId="2" fillId="0" borderId="15" xfId="1" applyNumberFormat="1" applyFont="1" applyBorder="1" applyAlignment="1">
      <alignment horizontal="right" wrapText="1"/>
    </xf>
    <xf numFmtId="2" fontId="2" fillId="0" borderId="14" xfId="1" applyNumberFormat="1" applyFont="1" applyBorder="1" applyAlignment="1">
      <alignment horizontal="left" wrapText="1"/>
    </xf>
    <xf numFmtId="2" fontId="10" fillId="0" borderId="0" xfId="1" applyNumberFormat="1" applyFont="1" applyFill="1"/>
    <xf numFmtId="2" fontId="10" fillId="0" borderId="14" xfId="1" applyNumberFormat="1" applyFont="1" applyFill="1" applyBorder="1" applyAlignment="1">
      <alignment horizontal="right" wrapText="1"/>
    </xf>
    <xf numFmtId="1" fontId="10" fillId="0" borderId="14" xfId="1" applyNumberFormat="1" applyFont="1" applyFill="1" applyBorder="1" applyAlignment="1">
      <alignment horizontal="right" wrapText="1"/>
    </xf>
    <xf numFmtId="1" fontId="10" fillId="0" borderId="15" xfId="1" applyNumberFormat="1" applyFont="1" applyFill="1" applyBorder="1" applyAlignment="1">
      <alignment horizontal="right" wrapText="1"/>
    </xf>
    <xf numFmtId="2" fontId="10" fillId="0" borderId="14" xfId="1" applyNumberFormat="1" applyFont="1" applyFill="1" applyBorder="1" applyAlignment="1">
      <alignment horizontal="left" wrapText="1"/>
    </xf>
    <xf numFmtId="1" fontId="11" fillId="0" borderId="0" xfId="1" applyNumberFormat="1" applyFont="1" applyFill="1"/>
    <xf numFmtId="1" fontId="11" fillId="0" borderId="9" xfId="1" applyNumberFormat="1" applyFont="1" applyFill="1" applyBorder="1"/>
    <xf numFmtId="2" fontId="11" fillId="0" borderId="0" xfId="1" applyNumberFormat="1" applyFont="1" applyFill="1"/>
    <xf numFmtId="1" fontId="12" fillId="0" borderId="0" xfId="1" applyNumberFormat="1" applyFont="1" applyFill="1"/>
    <xf numFmtId="1" fontId="12" fillId="0" borderId="9" xfId="1" applyNumberFormat="1" applyFont="1" applyFill="1" applyBorder="1"/>
    <xf numFmtId="2" fontId="1" fillId="0" borderId="0" xfId="1" applyNumberFormat="1" applyFill="1"/>
    <xf numFmtId="1" fontId="1" fillId="0" borderId="0" xfId="1" applyNumberFormat="1" applyFill="1" applyAlignment="1">
      <alignment horizontal="right"/>
    </xf>
    <xf numFmtId="1" fontId="11" fillId="0" borderId="14" xfId="1" applyNumberFormat="1" applyFont="1" applyFill="1" applyBorder="1" applyAlignment="1">
      <alignment horizontal="right" wrapText="1"/>
    </xf>
    <xf numFmtId="1" fontId="11" fillId="0" borderId="15" xfId="1" applyNumberFormat="1" applyFont="1" applyFill="1" applyBorder="1" applyAlignment="1">
      <alignment horizontal="right" wrapText="1"/>
    </xf>
    <xf numFmtId="2" fontId="11" fillId="0" borderId="14" xfId="1" applyNumberFormat="1" applyFont="1" applyFill="1" applyBorder="1" applyAlignment="1">
      <alignment horizontal="right" wrapText="1"/>
    </xf>
    <xf numFmtId="1" fontId="11" fillId="0" borderId="0" xfId="1" applyNumberFormat="1" applyFont="1"/>
    <xf numFmtId="1" fontId="1" fillId="0" borderId="11" xfId="1" applyNumberFormat="1" applyBorder="1"/>
    <xf numFmtId="0" fontId="13" fillId="0" borderId="0" xfId="1" applyFont="1" applyAlignment="1">
      <alignment wrapText="1"/>
    </xf>
    <xf numFmtId="0" fontId="14" fillId="0" borderId="0" xfId="1" applyFont="1" applyAlignment="1">
      <alignment wrapText="1"/>
    </xf>
    <xf numFmtId="1" fontId="3" fillId="0" borderId="0" xfId="1" applyNumberFormat="1" applyFont="1" applyAlignment="1">
      <alignment wrapText="1"/>
    </xf>
    <xf numFmtId="164" fontId="1" fillId="0" borderId="0" xfId="1" applyNumberFormat="1" applyAlignment="1">
      <alignment wrapText="1"/>
    </xf>
    <xf numFmtId="1" fontId="1" fillId="0" borderId="0" xfId="1" applyNumberFormat="1" applyAlignment="1">
      <alignment horizontal="center" wrapText="1"/>
    </xf>
    <xf numFmtId="0" fontId="3" fillId="0" borderId="0" xfId="1" applyFont="1" applyAlignment="1">
      <alignment wrapText="1"/>
    </xf>
    <xf numFmtId="0" fontId="1" fillId="0" borderId="5" xfId="1" applyFont="1" applyFill="1" applyBorder="1" applyAlignment="1">
      <alignment horizontal="left"/>
    </xf>
    <xf numFmtId="1" fontId="1" fillId="2" borderId="4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3" fillId="7" borderId="2" xfId="1" applyNumberFormat="1" applyFont="1" applyFill="1" applyBorder="1" applyAlignment="1">
      <alignment horizontal="center"/>
    </xf>
    <xf numFmtId="1" fontId="3" fillId="7" borderId="4" xfId="1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left"/>
    </xf>
    <xf numFmtId="0" fontId="1" fillId="2" borderId="3" xfId="1" applyNumberFormat="1" applyFont="1" applyFill="1" applyBorder="1" applyAlignment="1">
      <alignment horizontal="left"/>
    </xf>
    <xf numFmtId="0" fontId="1" fillId="2" borderId="4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2" fillId="3" borderId="3" xfId="1" applyNumberFormat="1" applyFont="1" applyFill="1" applyBorder="1" applyAlignment="1">
      <alignment horizontal="center"/>
    </xf>
    <xf numFmtId="0" fontId="2" fillId="0" borderId="0" xfId="1" applyNumberFormat="1" applyFont="1" applyFill="1"/>
    <xf numFmtId="0" fontId="3" fillId="4" borderId="7" xfId="1" applyNumberFormat="1" applyFont="1" applyFill="1" applyBorder="1" applyAlignment="1">
      <alignment horizontal="center"/>
    </xf>
    <xf numFmtId="0" fontId="3" fillId="5" borderId="4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NumberFormat="1" applyFont="1" applyAlignment="1">
      <alignment horizontal="center"/>
    </xf>
    <xf numFmtId="165" fontId="1" fillId="6" borderId="3" xfId="1" applyNumberFormat="1" applyFont="1" applyFill="1" applyBorder="1" applyAlignment="1">
      <alignment horizontal="center"/>
    </xf>
    <xf numFmtId="0" fontId="1" fillId="6" borderId="3" xfId="1" applyNumberFormat="1" applyFont="1" applyFill="1" applyBorder="1" applyAlignment="1">
      <alignment horizontal="center"/>
    </xf>
    <xf numFmtId="165" fontId="1" fillId="6" borderId="4" xfId="1" applyNumberFormat="1" applyFill="1" applyBorder="1"/>
    <xf numFmtId="0" fontId="1" fillId="6" borderId="4" xfId="1" applyNumberFormat="1" applyFill="1" applyBorder="1"/>
    <xf numFmtId="2" fontId="1" fillId="6" borderId="3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65" fontId="1" fillId="6" borderId="4" xfId="1" applyNumberFormat="1" applyFill="1" applyBorder="1" applyAlignment="1">
      <alignment horizontal="center"/>
    </xf>
    <xf numFmtId="0" fontId="1" fillId="6" borderId="4" xfId="1" applyNumberForma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2" fontId="2" fillId="6" borderId="3" xfId="1" applyNumberFormat="1" applyFont="1" applyFill="1" applyBorder="1" applyAlignment="1">
      <alignment horizontal="center"/>
    </xf>
    <xf numFmtId="0" fontId="1" fillId="7" borderId="4" xfId="1" applyNumberFormat="1" applyFont="1" applyFill="1" applyBorder="1" applyAlignment="1">
      <alignment horizontal="left"/>
    </xf>
    <xf numFmtId="0" fontId="1" fillId="7" borderId="4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7" borderId="3" xfId="1" applyNumberFormat="1" applyFont="1" applyFill="1" applyBorder="1" applyAlignment="1">
      <alignment horizontal="center"/>
    </xf>
    <xf numFmtId="0" fontId="4" fillId="7" borderId="4" xfId="1" applyNumberFormat="1" applyFont="1" applyFill="1" applyBorder="1" applyAlignment="1">
      <alignment horizontal="center"/>
    </xf>
    <xf numFmtId="0" fontId="4" fillId="7" borderId="2" xfId="1" applyNumberFormat="1" applyFont="1" applyFill="1" applyBorder="1" applyAlignment="1">
      <alignment horizontal="center"/>
    </xf>
    <xf numFmtId="0" fontId="1" fillId="0" borderId="0" xfId="1" applyNumberFormat="1" applyFill="1"/>
    <xf numFmtId="0" fontId="4" fillId="0" borderId="0" xfId="1" applyNumberFormat="1" applyFont="1" applyFill="1" applyBorder="1" applyAlignment="1">
      <alignment horizontal="center"/>
    </xf>
    <xf numFmtId="165" fontId="1" fillId="7" borderId="4" xfId="1" applyNumberFormat="1" applyFill="1" applyBorder="1"/>
    <xf numFmtId="165" fontId="1" fillId="7" borderId="3" xfId="1" applyNumberFormat="1" applyFont="1" applyFill="1" applyBorder="1" applyAlignment="1">
      <alignment horizontal="center"/>
    </xf>
    <xf numFmtId="0" fontId="1" fillId="7" borderId="4" xfId="1" applyNumberFormat="1" applyFill="1" applyBorder="1"/>
    <xf numFmtId="2" fontId="1" fillId="7" borderId="3" xfId="1" applyNumberFormat="1" applyFont="1" applyFill="1" applyBorder="1" applyAlignment="1">
      <alignment horizontal="center"/>
    </xf>
    <xf numFmtId="0" fontId="3" fillId="8" borderId="2" xfId="1" applyNumberFormat="1" applyFont="1" applyFill="1" applyBorder="1" applyAlignment="1">
      <alignment horizontal="center"/>
    </xf>
    <xf numFmtId="2" fontId="3" fillId="9" borderId="3" xfId="1" applyNumberFormat="1" applyFont="1" applyFill="1" applyBorder="1" applyAlignment="1">
      <alignment horizontal="center"/>
    </xf>
    <xf numFmtId="0" fontId="3" fillId="9" borderId="4" xfId="1" applyNumberFormat="1" applyFont="1" applyFill="1" applyBorder="1" applyAlignment="1">
      <alignment horizontal="center"/>
    </xf>
    <xf numFmtId="0" fontId="3" fillId="7" borderId="4" xfId="1" applyNumberFormat="1" applyFont="1" applyFill="1" applyBorder="1" applyAlignment="1">
      <alignment horizontal="center"/>
    </xf>
    <xf numFmtId="165" fontId="4" fillId="7" borderId="3" xfId="1" applyNumberFormat="1" applyFont="1" applyFill="1" applyBorder="1" applyAlignment="1">
      <alignment horizontal="center"/>
    </xf>
    <xf numFmtId="2" fontId="4" fillId="7" borderId="3" xfId="1" applyNumberFormat="1" applyFont="1" applyFill="1" applyBorder="1" applyAlignment="1">
      <alignment horizontal="center"/>
    </xf>
    <xf numFmtId="0" fontId="1" fillId="0" borderId="1" xfId="1" applyBorder="1" applyAlignment="1">
      <alignment wrapText="1"/>
    </xf>
    <xf numFmtId="1" fontId="2" fillId="0" borderId="0" xfId="1" applyNumberFormat="1" applyFont="1" applyFill="1"/>
    <xf numFmtId="164" fontId="2" fillId="0" borderId="0" xfId="1" applyNumberFormat="1" applyFont="1" applyFill="1"/>
    <xf numFmtId="1" fontId="2" fillId="0" borderId="0" xfId="1" applyNumberFormat="1" applyFont="1" applyFill="1" applyAlignment="1">
      <alignment horizontal="right"/>
    </xf>
    <xf numFmtId="167" fontId="2" fillId="0" borderId="0" xfId="1" applyNumberFormat="1" applyFont="1" applyAlignment="1">
      <alignment horizontal="right"/>
    </xf>
    <xf numFmtId="167" fontId="2" fillId="0" borderId="0" xfId="1" applyNumberFormat="1" applyFont="1"/>
    <xf numFmtId="1" fontId="1" fillId="2" borderId="0" xfId="1" applyNumberFormat="1" applyFill="1"/>
    <xf numFmtId="164" fontId="1" fillId="2" borderId="0" xfId="1" applyNumberFormat="1" applyFill="1"/>
    <xf numFmtId="1" fontId="1" fillId="2" borderId="0" xfId="1" applyNumberFormat="1" applyFill="1" applyAlignment="1">
      <alignment horizontal="right"/>
    </xf>
    <xf numFmtId="167" fontId="1" fillId="2" borderId="0" xfId="1" applyNumberFormat="1" applyFill="1" applyAlignment="1">
      <alignment horizontal="right"/>
    </xf>
    <xf numFmtId="0" fontId="1" fillId="2" borderId="0" xfId="1" applyFill="1"/>
    <xf numFmtId="1" fontId="1" fillId="3" borderId="0" xfId="1" applyNumberFormat="1" applyFill="1"/>
    <xf numFmtId="164" fontId="1" fillId="3" borderId="0" xfId="1" applyNumberFormat="1" applyFill="1"/>
    <xf numFmtId="1" fontId="1" fillId="3" borderId="0" xfId="1" applyNumberFormat="1" applyFill="1" applyAlignment="1">
      <alignment horizontal="right"/>
    </xf>
    <xf numFmtId="167" fontId="1" fillId="3" borderId="0" xfId="1" applyNumberFormat="1" applyFill="1" applyAlignment="1">
      <alignment horizontal="right"/>
    </xf>
    <xf numFmtId="0" fontId="1" fillId="3" borderId="0" xfId="1" applyFill="1"/>
    <xf numFmtId="1" fontId="1" fillId="7" borderId="0" xfId="1" applyNumberFormat="1" applyFill="1"/>
    <xf numFmtId="164" fontId="1" fillId="7" borderId="0" xfId="1" applyNumberFormat="1" applyFill="1"/>
    <xf numFmtId="0" fontId="1" fillId="7" borderId="0" xfId="1" applyNumberFormat="1" applyFill="1" applyAlignment="1">
      <alignment horizontal="right"/>
    </xf>
    <xf numFmtId="167" fontId="1" fillId="7" borderId="0" xfId="1" applyNumberFormat="1" applyFill="1" applyAlignment="1">
      <alignment horizontal="right"/>
    </xf>
    <xf numFmtId="0" fontId="1" fillId="7" borderId="0" xfId="1" applyFill="1"/>
    <xf numFmtId="1" fontId="1" fillId="7" borderId="0" xfId="1" applyNumberFormat="1" applyFill="1" applyAlignment="1">
      <alignment horizontal="right"/>
    </xf>
    <xf numFmtId="1" fontId="1" fillId="6" borderId="0" xfId="1" applyNumberFormat="1" applyFill="1"/>
    <xf numFmtId="164" fontId="1" fillId="6" borderId="0" xfId="1" applyNumberFormat="1" applyFill="1"/>
    <xf numFmtId="1" fontId="1" fillId="6" borderId="0" xfId="1" applyNumberFormat="1" applyFill="1" applyAlignment="1">
      <alignment horizontal="right"/>
    </xf>
    <xf numFmtId="0" fontId="1" fillId="6" borderId="0" xfId="1" applyNumberFormat="1" applyFill="1" applyAlignment="1">
      <alignment horizontal="right"/>
    </xf>
    <xf numFmtId="167" fontId="1" fillId="6" borderId="0" xfId="1" applyNumberFormat="1" applyFill="1" applyAlignment="1">
      <alignment horizontal="right"/>
    </xf>
    <xf numFmtId="0" fontId="1" fillId="6" borderId="0" xfId="1" applyFill="1"/>
    <xf numFmtId="1" fontId="1" fillId="0" borderId="0" xfId="1" applyNumberFormat="1" applyFill="1"/>
    <xf numFmtId="164" fontId="1" fillId="0" borderId="0" xfId="1" applyNumberFormat="1" applyFill="1"/>
    <xf numFmtId="167" fontId="1" fillId="0" borderId="0" xfId="1" applyNumberFormat="1" applyFill="1" applyAlignment="1">
      <alignment horizontal="right"/>
    </xf>
    <xf numFmtId="164" fontId="1" fillId="0" borderId="0" xfId="1" applyNumberFormat="1"/>
    <xf numFmtId="167" fontId="1" fillId="0" borderId="0" xfId="1" applyNumberFormat="1" applyAlignment="1">
      <alignment horizontal="right"/>
    </xf>
    <xf numFmtId="167" fontId="1" fillId="0" borderId="0" xfId="1" applyNumberFormat="1"/>
    <xf numFmtId="14" fontId="1" fillId="0" borderId="0" xfId="1" applyNumberFormat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166" fontId="1" fillId="0" borderId="0" xfId="1" applyNumberFormat="1" applyFont="1" applyFill="1" applyBorder="1" applyAlignment="1">
      <alignment horizontal="center"/>
    </xf>
    <xf numFmtId="166" fontId="3" fillId="6" borderId="4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/>
    <xf numFmtId="166" fontId="1" fillId="0" borderId="0" xfId="1" applyNumberFormat="1" applyFill="1" applyBorder="1"/>
    <xf numFmtId="0" fontId="2" fillId="0" borderId="0" xfId="1" applyFont="1" applyFill="1" applyBorder="1"/>
    <xf numFmtId="166" fontId="2" fillId="0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6.xml"/><Relationship Id="rId21" Type="http://schemas.openxmlformats.org/officeDocument/2006/relationships/externalLink" Target="externalLinks/externalLink7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externalLink" Target="externalLinks/externalLink1.xml"/><Relationship Id="rId16" Type="http://schemas.openxmlformats.org/officeDocument/2006/relationships/externalLink" Target="externalLinks/externalLink2.xml"/><Relationship Id="rId17" Type="http://schemas.openxmlformats.org/officeDocument/2006/relationships/externalLink" Target="externalLinks/externalLink3.xml"/><Relationship Id="rId18" Type="http://schemas.openxmlformats.org/officeDocument/2006/relationships/externalLink" Target="externalLinks/externalLink4.xml"/><Relationship Id="rId1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LinearAssetsExposure_Oct_REV_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Brownfied_Parcels_Exposed_Oct_REV_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CommercialExposure_OCT_Rev_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Contra%20Costa%20People%20Exposu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IndustrialExposure_Oct_REV_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MultiResidentialExposure_Oct_REV_E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ullerton/Dropbox%20(SFBCDC)/Contra%20Costa%20County/GIS%20and%20other%20Data/Exposure%20Analysis/SingResidentialExposure_Oct_REV_E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lines Summary EF"/>
      <sheetName val="Pipelines NFHL"/>
      <sheetName val="Pipelines SLR"/>
      <sheetName val="Rail Summary EF"/>
      <sheetName val="Rail NFHL"/>
      <sheetName val="Rail SLR-updatedOwner"/>
      <sheetName val="Bay Trail Summary EF"/>
      <sheetName val="Bay Trail NFHL"/>
      <sheetName val="Bay Trail SLR"/>
    </sheetNames>
    <sheetDataSet>
      <sheetData sheetId="0" refreshError="1"/>
      <sheetData sheetId="1">
        <row r="1">
          <cell r="E1" t="str">
            <v>IntersectMiles</v>
          </cell>
          <cell r="F1" t="str">
            <v>Subclass</v>
          </cell>
        </row>
        <row r="2">
          <cell r="E2">
            <v>7.7196680000000004E-2</v>
          </cell>
          <cell r="F2" t="str">
            <v>Liquid</v>
          </cell>
        </row>
        <row r="3">
          <cell r="E3">
            <v>8.6113689999999996E-4</v>
          </cell>
          <cell r="F3" t="str">
            <v>Liquid</v>
          </cell>
        </row>
        <row r="4">
          <cell r="E4">
            <v>0.148336</v>
          </cell>
          <cell r="F4" t="str">
            <v>Liquid</v>
          </cell>
        </row>
        <row r="5">
          <cell r="E5">
            <v>0.14864169999999999</v>
          </cell>
          <cell r="F5" t="str">
            <v>Liquid</v>
          </cell>
        </row>
        <row r="6">
          <cell r="E6">
            <v>5.6759950000000003E-2</v>
          </cell>
          <cell r="F6" t="str">
            <v>Liquid</v>
          </cell>
        </row>
        <row r="7">
          <cell r="E7">
            <v>1.839849E-2</v>
          </cell>
          <cell r="F7" t="str">
            <v>Liquid</v>
          </cell>
        </row>
        <row r="8">
          <cell r="E8">
            <v>1.8344590000000001E-2</v>
          </cell>
          <cell r="F8" t="str">
            <v>Liquid</v>
          </cell>
        </row>
        <row r="9">
          <cell r="E9">
            <v>9.9159220000000006E-2</v>
          </cell>
          <cell r="F9" t="str">
            <v>Liquid</v>
          </cell>
        </row>
        <row r="10">
          <cell r="E10">
            <v>0.10638</v>
          </cell>
          <cell r="F10" t="str">
            <v>Liquid</v>
          </cell>
        </row>
        <row r="11">
          <cell r="E11">
            <v>0.24668119999999999</v>
          </cell>
          <cell r="F11" t="str">
            <v>Liquid</v>
          </cell>
        </row>
        <row r="12">
          <cell r="E12">
            <v>1.367686</v>
          </cell>
          <cell r="F12" t="str">
            <v>Liquid</v>
          </cell>
        </row>
        <row r="13">
          <cell r="E13">
            <v>0.46007949999999997</v>
          </cell>
          <cell r="F13" t="str">
            <v>Liquid</v>
          </cell>
        </row>
        <row r="14">
          <cell r="E14">
            <v>6.415063E-2</v>
          </cell>
          <cell r="F14" t="str">
            <v>Liquid</v>
          </cell>
        </row>
        <row r="15">
          <cell r="E15">
            <v>0.1186799</v>
          </cell>
          <cell r="F15" t="str">
            <v>Liquid</v>
          </cell>
        </row>
        <row r="16">
          <cell r="E16">
            <v>0.55031140000000001</v>
          </cell>
          <cell r="F16" t="str">
            <v>Liquid</v>
          </cell>
        </row>
        <row r="17">
          <cell r="E17">
            <v>5.9490609999999999E-2</v>
          </cell>
          <cell r="F17" t="str">
            <v>Liquid</v>
          </cell>
        </row>
        <row r="18">
          <cell r="E18">
            <v>1.43998</v>
          </cell>
          <cell r="F18" t="str">
            <v>Liquid</v>
          </cell>
        </row>
        <row r="19">
          <cell r="E19">
            <v>0.53211699999999995</v>
          </cell>
          <cell r="F19" t="str">
            <v>Liquid</v>
          </cell>
        </row>
        <row r="20">
          <cell r="E20">
            <v>2.1430009999999999E-2</v>
          </cell>
          <cell r="F20" t="str">
            <v>Liquid</v>
          </cell>
        </row>
        <row r="21">
          <cell r="E21">
            <v>0.63888900000000004</v>
          </cell>
          <cell r="F21" t="str">
            <v>Liquid</v>
          </cell>
        </row>
        <row r="22">
          <cell r="E22">
            <v>0.63881639999999995</v>
          </cell>
          <cell r="F22" t="str">
            <v>Liquid</v>
          </cell>
        </row>
        <row r="23">
          <cell r="E23">
            <v>0.63945940000000001</v>
          </cell>
          <cell r="F23" t="str">
            <v>Liquid</v>
          </cell>
        </row>
        <row r="24">
          <cell r="E24">
            <v>0.12728929999999999</v>
          </cell>
          <cell r="F24" t="str">
            <v>Liquid</v>
          </cell>
        </row>
        <row r="25">
          <cell r="E25">
            <v>0.2241957</v>
          </cell>
          <cell r="F25" t="str">
            <v>Liquid</v>
          </cell>
        </row>
        <row r="26">
          <cell r="E26">
            <v>1.176608E-2</v>
          </cell>
          <cell r="F26" t="str">
            <v>Liquid</v>
          </cell>
        </row>
        <row r="27">
          <cell r="E27">
            <v>5.4789079999999997E-2</v>
          </cell>
          <cell r="F27" t="str">
            <v>Liquid</v>
          </cell>
        </row>
        <row r="28">
          <cell r="E28">
            <v>5.1744329999999998E-2</v>
          </cell>
          <cell r="F28" t="str">
            <v>Liquid</v>
          </cell>
        </row>
        <row r="29">
          <cell r="E29">
            <v>1.007594E-2</v>
          </cell>
          <cell r="F29" t="str">
            <v>Liquid</v>
          </cell>
        </row>
        <row r="30">
          <cell r="E30">
            <v>0.1265732</v>
          </cell>
          <cell r="F30" t="str">
            <v>Liquid</v>
          </cell>
        </row>
        <row r="31">
          <cell r="E31">
            <v>6.6266759999999994E-2</v>
          </cell>
          <cell r="F31" t="str">
            <v>Liquid</v>
          </cell>
        </row>
        <row r="32">
          <cell r="E32">
            <v>3.7670670000000003E-2</v>
          </cell>
          <cell r="F32" t="str">
            <v>Liquid</v>
          </cell>
        </row>
        <row r="33">
          <cell r="E33">
            <v>1.011861E-2</v>
          </cell>
          <cell r="F33" t="str">
            <v>Liquid</v>
          </cell>
        </row>
        <row r="34">
          <cell r="E34">
            <v>0.12601850000000001</v>
          </cell>
          <cell r="F34" t="str">
            <v>Liquid</v>
          </cell>
        </row>
        <row r="35">
          <cell r="E35">
            <v>1.183068E-2</v>
          </cell>
          <cell r="F35" t="str">
            <v>Liquid</v>
          </cell>
        </row>
        <row r="36">
          <cell r="E36">
            <v>1.1850029999999999E-2</v>
          </cell>
          <cell r="F36" t="str">
            <v>Liquid</v>
          </cell>
        </row>
        <row r="37">
          <cell r="E37">
            <v>5.3276660000000003E-2</v>
          </cell>
          <cell r="F37" t="str">
            <v>Liquid</v>
          </cell>
        </row>
        <row r="38">
          <cell r="E38">
            <v>0.1164192</v>
          </cell>
          <cell r="F38" t="str">
            <v>Liquid</v>
          </cell>
        </row>
        <row r="39">
          <cell r="E39">
            <v>1.0061779999999999E-2</v>
          </cell>
          <cell r="F39" t="str">
            <v>Liquid</v>
          </cell>
        </row>
        <row r="40">
          <cell r="E40">
            <v>0.23670849999999999</v>
          </cell>
          <cell r="F40" t="str">
            <v>Liquid</v>
          </cell>
        </row>
        <row r="41">
          <cell r="E41">
            <v>0.12675719999999999</v>
          </cell>
          <cell r="F41" t="str">
            <v>Liquid</v>
          </cell>
        </row>
        <row r="42">
          <cell r="E42">
            <v>0.14047780000000001</v>
          </cell>
          <cell r="F42" t="str">
            <v>Liquid</v>
          </cell>
        </row>
        <row r="43">
          <cell r="E43">
            <v>3.2395439999999998E-2</v>
          </cell>
          <cell r="F43" t="str">
            <v>Liquid</v>
          </cell>
        </row>
        <row r="44">
          <cell r="E44">
            <v>0.2387881</v>
          </cell>
          <cell r="F44" t="str">
            <v>Liquid</v>
          </cell>
        </row>
        <row r="45">
          <cell r="E45">
            <v>3.3178970000000002E-2</v>
          </cell>
          <cell r="F45" t="str">
            <v>Liquid</v>
          </cell>
        </row>
        <row r="46">
          <cell r="E46">
            <v>0.3483714</v>
          </cell>
          <cell r="F46" t="str">
            <v>Liquid</v>
          </cell>
        </row>
        <row r="47">
          <cell r="E47">
            <v>0.30600119999999997</v>
          </cell>
          <cell r="F47" t="str">
            <v>Liquid</v>
          </cell>
        </row>
        <row r="48">
          <cell r="E48">
            <v>0.1002579</v>
          </cell>
          <cell r="F48" t="str">
            <v>Liquid</v>
          </cell>
        </row>
        <row r="49">
          <cell r="E49">
            <v>7.5570739999999997E-2</v>
          </cell>
          <cell r="F49" t="str">
            <v>Liquid</v>
          </cell>
        </row>
        <row r="50">
          <cell r="E50">
            <v>6.7942239999999997E-3</v>
          </cell>
          <cell r="F50" t="str">
            <v>Liquid</v>
          </cell>
        </row>
        <row r="51">
          <cell r="E51">
            <v>0.15388080000000001</v>
          </cell>
          <cell r="F51" t="str">
            <v>Liquid</v>
          </cell>
        </row>
        <row r="52">
          <cell r="E52">
            <v>5.8819059999999999E-2</v>
          </cell>
          <cell r="F52" t="str">
            <v>Liquid</v>
          </cell>
        </row>
        <row r="53">
          <cell r="E53">
            <v>0.35872710000000002</v>
          </cell>
          <cell r="F53" t="str">
            <v>Liquid</v>
          </cell>
        </row>
        <row r="54">
          <cell r="E54">
            <v>2.283398E-2</v>
          </cell>
          <cell r="F54" t="str">
            <v>Liquid</v>
          </cell>
        </row>
        <row r="55">
          <cell r="E55">
            <v>1.6278819999999999E-2</v>
          </cell>
          <cell r="F55" t="str">
            <v>Liquid</v>
          </cell>
        </row>
        <row r="56">
          <cell r="E56">
            <v>2.6001960000000001E-2</v>
          </cell>
          <cell r="F56" t="str">
            <v>Liquid</v>
          </cell>
        </row>
        <row r="57">
          <cell r="E57">
            <v>0.37751200000000001</v>
          </cell>
          <cell r="F57" t="str">
            <v>Liquid</v>
          </cell>
        </row>
        <row r="58">
          <cell r="E58">
            <v>3.4043459999999998E-2</v>
          </cell>
          <cell r="F58" t="str">
            <v>Liquid</v>
          </cell>
        </row>
        <row r="59">
          <cell r="E59">
            <v>1.317662E-2</v>
          </cell>
          <cell r="F59" t="str">
            <v>Liquid</v>
          </cell>
        </row>
        <row r="60">
          <cell r="E60">
            <v>0.36363459999999997</v>
          </cell>
          <cell r="F60" t="str">
            <v>Liquid</v>
          </cell>
        </row>
        <row r="61">
          <cell r="E61">
            <v>3.759937E-2</v>
          </cell>
          <cell r="F61" t="str">
            <v>Liquid</v>
          </cell>
        </row>
        <row r="62">
          <cell r="E62">
            <v>0.1287934</v>
          </cell>
          <cell r="F62" t="str">
            <v>Liquid</v>
          </cell>
        </row>
        <row r="63">
          <cell r="E63">
            <v>1.4331170000000001E-2</v>
          </cell>
          <cell r="F63" t="str">
            <v>Liquid</v>
          </cell>
        </row>
        <row r="64">
          <cell r="E64">
            <v>0.1263986</v>
          </cell>
          <cell r="F64" t="str">
            <v>Liquid</v>
          </cell>
        </row>
        <row r="65">
          <cell r="E65">
            <v>3.298736E-2</v>
          </cell>
          <cell r="F65" t="str">
            <v>Liquid</v>
          </cell>
        </row>
        <row r="66">
          <cell r="E66">
            <v>0.3469392</v>
          </cell>
          <cell r="F66" t="str">
            <v>Liquid</v>
          </cell>
        </row>
        <row r="67">
          <cell r="E67">
            <v>0.315164</v>
          </cell>
          <cell r="F67" t="str">
            <v>Liquid</v>
          </cell>
        </row>
        <row r="68">
          <cell r="E68">
            <v>0.12675629999999999</v>
          </cell>
          <cell r="F68" t="str">
            <v>Liquid</v>
          </cell>
        </row>
        <row r="69">
          <cell r="E69">
            <v>3.461032E-2</v>
          </cell>
          <cell r="F69" t="str">
            <v>Liquid</v>
          </cell>
        </row>
        <row r="70">
          <cell r="E70">
            <v>0.35015750000000001</v>
          </cell>
          <cell r="F70" t="str">
            <v>Liquid</v>
          </cell>
        </row>
        <row r="71">
          <cell r="E71">
            <v>0.25311650000000002</v>
          </cell>
          <cell r="F71" t="str">
            <v>Liquid</v>
          </cell>
        </row>
        <row r="72">
          <cell r="E72">
            <v>0.56283360000000004</v>
          </cell>
          <cell r="F72" t="str">
            <v>Liquid</v>
          </cell>
        </row>
        <row r="73">
          <cell r="E73">
            <v>0.52693650000000003</v>
          </cell>
          <cell r="F73" t="str">
            <v>Liquid</v>
          </cell>
        </row>
        <row r="74">
          <cell r="E74">
            <v>3.2138550000000002E-2</v>
          </cell>
          <cell r="F74" t="str">
            <v>Liquid</v>
          </cell>
        </row>
        <row r="75">
          <cell r="E75">
            <v>0.50654699999999997</v>
          </cell>
          <cell r="F75" t="str">
            <v>Liquid</v>
          </cell>
        </row>
        <row r="76">
          <cell r="E76">
            <v>3.3890700000000003E-2</v>
          </cell>
          <cell r="F76" t="str">
            <v>Liquid</v>
          </cell>
        </row>
        <row r="77">
          <cell r="E77">
            <v>1.954798E-2</v>
          </cell>
          <cell r="F77" t="str">
            <v>Liquid</v>
          </cell>
        </row>
        <row r="78">
          <cell r="E78">
            <v>1.954798E-2</v>
          </cell>
          <cell r="F78" t="str">
            <v>Liquid</v>
          </cell>
        </row>
        <row r="79">
          <cell r="E79">
            <v>4.9155099999999997E-3</v>
          </cell>
          <cell r="F79" t="str">
            <v>Liquid</v>
          </cell>
        </row>
        <row r="80">
          <cell r="E80">
            <v>4.9155099999999997E-3</v>
          </cell>
          <cell r="F80" t="str">
            <v>Liquid</v>
          </cell>
        </row>
        <row r="81">
          <cell r="E81">
            <v>5.6013199999999999E-3</v>
          </cell>
          <cell r="F81" t="str">
            <v>Liquid</v>
          </cell>
        </row>
        <row r="82">
          <cell r="E82">
            <v>0.3708649</v>
          </cell>
          <cell r="F82" t="str">
            <v>Liquid</v>
          </cell>
        </row>
        <row r="83">
          <cell r="E83">
            <v>1.125164E-2</v>
          </cell>
          <cell r="F83" t="str">
            <v>Liquid</v>
          </cell>
        </row>
        <row r="84">
          <cell r="E84">
            <v>0.26802819999999999</v>
          </cell>
          <cell r="F84" t="str">
            <v>Liquid</v>
          </cell>
        </row>
        <row r="85">
          <cell r="E85">
            <v>0.19975850000000001</v>
          </cell>
          <cell r="F85" t="str">
            <v>Liquid</v>
          </cell>
        </row>
        <row r="86">
          <cell r="E86">
            <v>2.469331E-2</v>
          </cell>
          <cell r="F86" t="str">
            <v>Liquid</v>
          </cell>
        </row>
        <row r="87">
          <cell r="E87">
            <v>2.7240830000000001E-2</v>
          </cell>
          <cell r="F87" t="str">
            <v>Liquid</v>
          </cell>
        </row>
        <row r="88">
          <cell r="E88">
            <v>0.1270318</v>
          </cell>
          <cell r="F88" t="str">
            <v>Liquid</v>
          </cell>
        </row>
        <row r="89">
          <cell r="E89">
            <v>2.7549520000000001E-2</v>
          </cell>
          <cell r="F89" t="str">
            <v>Liquid</v>
          </cell>
        </row>
        <row r="90">
          <cell r="E90">
            <v>0.1274293</v>
          </cell>
          <cell r="F90" t="str">
            <v>Liquid</v>
          </cell>
        </row>
        <row r="91">
          <cell r="E91">
            <v>2.8247689999999999E-2</v>
          </cell>
          <cell r="F91" t="str">
            <v>Liquid</v>
          </cell>
        </row>
        <row r="92">
          <cell r="E92">
            <v>2.8256E-2</v>
          </cell>
          <cell r="F92" t="str">
            <v>Liquid</v>
          </cell>
        </row>
        <row r="93">
          <cell r="E93">
            <v>0.29369109999999998</v>
          </cell>
          <cell r="F93" t="str">
            <v>Liquid</v>
          </cell>
        </row>
        <row r="94">
          <cell r="E94">
            <v>8.2732940000000005E-2</v>
          </cell>
          <cell r="F94" t="str">
            <v>Liquid</v>
          </cell>
        </row>
        <row r="95">
          <cell r="E95">
            <v>0.15730820000000001</v>
          </cell>
          <cell r="F95" t="str">
            <v>Liquid</v>
          </cell>
        </row>
        <row r="96">
          <cell r="E96">
            <v>7.5005690000000003E-3</v>
          </cell>
          <cell r="F96" t="str">
            <v>Liquid</v>
          </cell>
        </row>
        <row r="97">
          <cell r="E97">
            <v>0.31002109999999999</v>
          </cell>
          <cell r="F97" t="str">
            <v>Liquid</v>
          </cell>
        </row>
        <row r="98">
          <cell r="E98">
            <v>0.31095010000000001</v>
          </cell>
          <cell r="F98" t="str">
            <v>Liquid</v>
          </cell>
        </row>
        <row r="99">
          <cell r="E99">
            <v>0.35734700000000003</v>
          </cell>
          <cell r="F99" t="str">
            <v>Liquid</v>
          </cell>
        </row>
        <row r="100">
          <cell r="E100">
            <v>4.0560890000000002E-2</v>
          </cell>
          <cell r="F100" t="str">
            <v>Liquid</v>
          </cell>
        </row>
        <row r="101">
          <cell r="E101">
            <v>0.34663549999999999</v>
          </cell>
          <cell r="F101" t="str">
            <v>Liquid</v>
          </cell>
        </row>
        <row r="102">
          <cell r="E102">
            <v>3.0275320000000001E-2</v>
          </cell>
          <cell r="F102" t="str">
            <v>Liquid</v>
          </cell>
        </row>
        <row r="103">
          <cell r="E103">
            <v>1.188947E-4</v>
          </cell>
          <cell r="F103" t="str">
            <v>Liquid</v>
          </cell>
        </row>
        <row r="104">
          <cell r="E104">
            <v>0.27853749999999999</v>
          </cell>
          <cell r="F104" t="str">
            <v>Liquid</v>
          </cell>
        </row>
        <row r="105">
          <cell r="E105">
            <v>1.151783E-2</v>
          </cell>
          <cell r="F105" t="str">
            <v>Gas</v>
          </cell>
        </row>
        <row r="106">
          <cell r="E106">
            <v>5.4268110000000001E-2</v>
          </cell>
          <cell r="F106" t="str">
            <v>Gas</v>
          </cell>
        </row>
        <row r="107">
          <cell r="E107">
            <v>1.4552069999999999</v>
          </cell>
          <cell r="F107" t="str">
            <v>Gas</v>
          </cell>
        </row>
        <row r="108">
          <cell r="E108">
            <v>0.46116360000000001</v>
          </cell>
          <cell r="F108" t="str">
            <v>Gas</v>
          </cell>
        </row>
        <row r="109">
          <cell r="E109">
            <v>1.8380690000000002E-2</v>
          </cell>
          <cell r="F109" t="str">
            <v>Gas</v>
          </cell>
        </row>
        <row r="110">
          <cell r="E110">
            <v>0.54954809999999998</v>
          </cell>
          <cell r="F110" t="str">
            <v>Gas</v>
          </cell>
        </row>
        <row r="111">
          <cell r="E111">
            <v>0.1756374</v>
          </cell>
          <cell r="F111" t="str">
            <v>Gas</v>
          </cell>
        </row>
        <row r="112">
          <cell r="E112">
            <v>1.3811030000000001E-3</v>
          </cell>
          <cell r="F112" t="str">
            <v>Gas</v>
          </cell>
        </row>
        <row r="113">
          <cell r="E113">
            <v>3.9184190000000002E-3</v>
          </cell>
          <cell r="F113" t="str">
            <v>Gas</v>
          </cell>
        </row>
        <row r="114">
          <cell r="E114">
            <v>4.7033370000000001E-3</v>
          </cell>
          <cell r="F114" t="str">
            <v>Gas</v>
          </cell>
        </row>
        <row r="115">
          <cell r="E115">
            <v>2.2353000000000001E-2</v>
          </cell>
          <cell r="F115" t="str">
            <v>Gas</v>
          </cell>
        </row>
        <row r="116">
          <cell r="E116">
            <v>2.576662E-2</v>
          </cell>
          <cell r="F116" t="str">
            <v>Gas</v>
          </cell>
        </row>
        <row r="117">
          <cell r="E117">
            <v>2.6185079999999999E-2</v>
          </cell>
          <cell r="F117" t="str">
            <v>Gas</v>
          </cell>
        </row>
        <row r="118">
          <cell r="E118">
            <v>2.2091530000000002E-2</v>
          </cell>
          <cell r="F118" t="str">
            <v>Gas</v>
          </cell>
        </row>
        <row r="119">
          <cell r="E119">
            <v>0.4119061</v>
          </cell>
          <cell r="F119" t="str">
            <v>Gas</v>
          </cell>
        </row>
        <row r="120">
          <cell r="E120">
            <v>1.314214E-2</v>
          </cell>
          <cell r="F120" t="str">
            <v>Gas</v>
          </cell>
        </row>
        <row r="121">
          <cell r="E121">
            <v>8.7224489999999997E-4</v>
          </cell>
          <cell r="F121" t="str">
            <v>Gas</v>
          </cell>
        </row>
        <row r="122">
          <cell r="E122">
            <v>0.2665226</v>
          </cell>
          <cell r="F122" t="str">
            <v>Gas</v>
          </cell>
        </row>
        <row r="123">
          <cell r="E123">
            <v>2.0675539999999999E-2</v>
          </cell>
          <cell r="F123" t="str">
            <v>Gas</v>
          </cell>
        </row>
        <row r="124">
          <cell r="E124">
            <v>0.32821400000000001</v>
          </cell>
          <cell r="F124" t="str">
            <v>Gas</v>
          </cell>
        </row>
        <row r="125">
          <cell r="E125">
            <v>0.202711</v>
          </cell>
          <cell r="F125" t="str">
            <v>Gas</v>
          </cell>
        </row>
        <row r="126">
          <cell r="E126">
            <v>0.35561490000000001</v>
          </cell>
          <cell r="F126" t="str">
            <v>Gas</v>
          </cell>
        </row>
        <row r="127">
          <cell r="E127">
            <v>1.435287E-2</v>
          </cell>
          <cell r="F127" t="str">
            <v>Gas</v>
          </cell>
        </row>
        <row r="128">
          <cell r="E128">
            <v>1.6354029999999999E-2</v>
          </cell>
          <cell r="F128" t="str">
            <v>Gas</v>
          </cell>
        </row>
        <row r="129">
          <cell r="E129">
            <v>1.1893920000000001E-2</v>
          </cell>
          <cell r="F129" t="str">
            <v>Gas</v>
          </cell>
        </row>
        <row r="130">
          <cell r="E130">
            <v>1.1696349999999999E-2</v>
          </cell>
          <cell r="F130" t="str">
            <v>Gas</v>
          </cell>
        </row>
        <row r="131">
          <cell r="E131">
            <v>1.158957E-2</v>
          </cell>
          <cell r="F131" t="str">
            <v>Gas</v>
          </cell>
        </row>
        <row r="132">
          <cell r="E132">
            <v>1.1997890000000001E-2</v>
          </cell>
          <cell r="F132" t="str">
            <v>Gas</v>
          </cell>
        </row>
        <row r="133">
          <cell r="E133">
            <v>5.6351980000000003E-2</v>
          </cell>
          <cell r="F133" t="str">
            <v>Gas</v>
          </cell>
        </row>
        <row r="134">
          <cell r="E134">
            <v>4.7040270000000002E-2</v>
          </cell>
          <cell r="F134" t="str">
            <v>Gas</v>
          </cell>
        </row>
        <row r="135">
          <cell r="E135">
            <v>1.009008E-2</v>
          </cell>
          <cell r="F135" t="str">
            <v>Gas</v>
          </cell>
        </row>
        <row r="136">
          <cell r="E136">
            <v>0.2341907</v>
          </cell>
          <cell r="F136" t="str">
            <v>Gas</v>
          </cell>
        </row>
        <row r="137">
          <cell r="E137">
            <v>0.12638849999999999</v>
          </cell>
          <cell r="F137" t="str">
            <v>Gas</v>
          </cell>
        </row>
        <row r="138">
          <cell r="E138">
            <v>0.14155180000000001</v>
          </cell>
          <cell r="F138" t="str">
            <v>Gas</v>
          </cell>
        </row>
        <row r="139">
          <cell r="E139">
            <v>1.812447E-4</v>
          </cell>
          <cell r="F139" t="str">
            <v>Gas</v>
          </cell>
        </row>
        <row r="140">
          <cell r="E140">
            <v>7.3898110000000003E-2</v>
          </cell>
          <cell r="F140" t="str">
            <v>Gas</v>
          </cell>
        </row>
        <row r="141">
          <cell r="E141">
            <v>1.137424</v>
          </cell>
          <cell r="F141" t="str">
            <v>Gas</v>
          </cell>
        </row>
        <row r="142">
          <cell r="E142">
            <v>5.8193749999999999E-3</v>
          </cell>
          <cell r="F142" t="str">
            <v>Gas</v>
          </cell>
        </row>
        <row r="143">
          <cell r="E143">
            <v>0.30655209999999999</v>
          </cell>
          <cell r="F143" t="str">
            <v>Gas</v>
          </cell>
        </row>
        <row r="144">
          <cell r="E144">
            <v>9.9692230000000007E-2</v>
          </cell>
          <cell r="F144" t="str">
            <v>Gas</v>
          </cell>
        </row>
        <row r="145">
          <cell r="E145">
            <v>9.4648570000000005E-5</v>
          </cell>
          <cell r="F145" t="str">
            <v>Gas</v>
          </cell>
        </row>
        <row r="146">
          <cell r="E146">
            <v>9.4648570000000005E-5</v>
          </cell>
          <cell r="F146" t="str">
            <v>Gas</v>
          </cell>
        </row>
        <row r="147">
          <cell r="E147">
            <v>1.790858E-4</v>
          </cell>
          <cell r="F147" t="str">
            <v>Gas</v>
          </cell>
        </row>
        <row r="148">
          <cell r="E148">
            <v>6.2838820000000004E-2</v>
          </cell>
          <cell r="F148" t="str">
            <v>Gas</v>
          </cell>
        </row>
        <row r="149">
          <cell r="E149">
            <v>0.30711270000000002</v>
          </cell>
          <cell r="F149" t="str">
            <v>Gas</v>
          </cell>
        </row>
        <row r="150">
          <cell r="E150">
            <v>0.37749969999999999</v>
          </cell>
          <cell r="F150" t="str">
            <v>Gas</v>
          </cell>
        </row>
        <row r="151">
          <cell r="E151">
            <v>0.13060169999999999</v>
          </cell>
          <cell r="F151" t="str">
            <v>Gas</v>
          </cell>
        </row>
        <row r="152">
          <cell r="E152">
            <v>0.14028479999999999</v>
          </cell>
          <cell r="F152" t="str">
            <v>Gas</v>
          </cell>
        </row>
        <row r="153">
          <cell r="E153">
            <v>5.3414469999999999E-2</v>
          </cell>
          <cell r="F153" t="str">
            <v>Gas</v>
          </cell>
        </row>
        <row r="154">
          <cell r="E154">
            <v>0.1402284</v>
          </cell>
          <cell r="F154" t="str">
            <v>Gas</v>
          </cell>
        </row>
        <row r="155">
          <cell r="E155">
            <v>3.1693440000000003E-2</v>
          </cell>
          <cell r="F155" t="str">
            <v>Gas</v>
          </cell>
        </row>
        <row r="156">
          <cell r="E156">
            <v>0.15722349999999999</v>
          </cell>
          <cell r="F156" t="str">
            <v>Gas</v>
          </cell>
        </row>
        <row r="157">
          <cell r="E157">
            <v>1.4930809999999999E-2</v>
          </cell>
          <cell r="F157" t="str">
            <v>Gas</v>
          </cell>
        </row>
        <row r="158">
          <cell r="E158">
            <v>0.24082480000000001</v>
          </cell>
          <cell r="F158" t="str">
            <v>Gas</v>
          </cell>
        </row>
        <row r="159">
          <cell r="E159">
            <v>1.226618E-2</v>
          </cell>
          <cell r="F159" t="str">
            <v>Gas</v>
          </cell>
        </row>
        <row r="160">
          <cell r="E160">
            <v>1.8163209999999999E-2</v>
          </cell>
          <cell r="F160" t="str">
            <v>Gas</v>
          </cell>
        </row>
        <row r="161">
          <cell r="E161">
            <v>3.1959370000000001E-2</v>
          </cell>
          <cell r="F161" t="str">
            <v>Gas</v>
          </cell>
        </row>
        <row r="162">
          <cell r="E162">
            <v>5.3287129999999997E-3</v>
          </cell>
          <cell r="F162" t="str">
            <v>Gas</v>
          </cell>
        </row>
        <row r="163">
          <cell r="E163">
            <v>4.193968E-2</v>
          </cell>
          <cell r="F163" t="str">
            <v>Gas</v>
          </cell>
        </row>
        <row r="164">
          <cell r="E164">
            <v>1.2008970000000001E-2</v>
          </cell>
          <cell r="F164" t="str">
            <v>Gas</v>
          </cell>
        </row>
        <row r="165">
          <cell r="E165">
            <v>1.7277810000000001E-2</v>
          </cell>
          <cell r="F165" t="str">
            <v>Gas</v>
          </cell>
        </row>
        <row r="166">
          <cell r="E166">
            <v>9.0764029999999996E-2</v>
          </cell>
          <cell r="F166" t="str">
            <v>Gas</v>
          </cell>
        </row>
        <row r="167">
          <cell r="E167">
            <v>4.2953570000000003E-2</v>
          </cell>
          <cell r="F167" t="str">
            <v>Gas</v>
          </cell>
        </row>
        <row r="168">
          <cell r="E168">
            <v>0.18196329999999999</v>
          </cell>
          <cell r="F168" t="str">
            <v>Gas</v>
          </cell>
        </row>
        <row r="169">
          <cell r="E169">
            <v>2.8610050000000001E-2</v>
          </cell>
          <cell r="F169" t="str">
            <v>Gas</v>
          </cell>
        </row>
        <row r="170">
          <cell r="E170">
            <v>2.822208E-2</v>
          </cell>
          <cell r="F170" t="str">
            <v>Gas</v>
          </cell>
        </row>
        <row r="171">
          <cell r="E171">
            <v>0.30239110000000002</v>
          </cell>
          <cell r="F171" t="str">
            <v>Gas</v>
          </cell>
        </row>
        <row r="172">
          <cell r="E172">
            <v>2.634974E-2</v>
          </cell>
          <cell r="F172" t="str">
            <v>Gas</v>
          </cell>
        </row>
        <row r="173">
          <cell r="E173">
            <v>0.12857299999999999</v>
          </cell>
          <cell r="F173" t="str">
            <v>Gas</v>
          </cell>
        </row>
        <row r="174">
          <cell r="E174">
            <v>0.1901793</v>
          </cell>
          <cell r="F174" t="str">
            <v>Gas</v>
          </cell>
        </row>
        <row r="175">
          <cell r="E175">
            <v>8.5364380000000004E-3</v>
          </cell>
          <cell r="F175" t="str">
            <v>Gas</v>
          </cell>
        </row>
        <row r="176">
          <cell r="E176">
            <v>9.7424309999999993E-3</v>
          </cell>
          <cell r="F176" t="str">
            <v>Gas</v>
          </cell>
        </row>
        <row r="177">
          <cell r="E177">
            <v>0.20912020000000001</v>
          </cell>
          <cell r="F177" t="str">
            <v>Gas</v>
          </cell>
        </row>
        <row r="178">
          <cell r="E178">
            <v>0.27539550000000002</v>
          </cell>
          <cell r="F178" t="str">
            <v>Gas</v>
          </cell>
        </row>
        <row r="179">
          <cell r="E179">
            <v>5.172247E-2</v>
          </cell>
          <cell r="F179" t="str">
            <v>Gas</v>
          </cell>
        </row>
        <row r="180">
          <cell r="E180">
            <v>0.29870809999999998</v>
          </cell>
          <cell r="F180" t="str">
            <v>Gas</v>
          </cell>
        </row>
        <row r="181">
          <cell r="E181">
            <v>5.9533330000000002E-2</v>
          </cell>
          <cell r="F181" t="str">
            <v>Gas</v>
          </cell>
        </row>
        <row r="182">
          <cell r="E182">
            <v>4.0882460000000002E-2</v>
          </cell>
          <cell r="F182" t="str">
            <v>Gas</v>
          </cell>
        </row>
        <row r="183">
          <cell r="E183">
            <v>0.1213851</v>
          </cell>
          <cell r="F183" t="str">
            <v>Gas</v>
          </cell>
        </row>
        <row r="184">
          <cell r="E184">
            <v>0.33066089999999998</v>
          </cell>
          <cell r="F184" t="str">
            <v>Gas</v>
          </cell>
        </row>
        <row r="185">
          <cell r="E185">
            <v>0.98689709999999997</v>
          </cell>
          <cell r="F185" t="str">
            <v>Gas</v>
          </cell>
        </row>
        <row r="186">
          <cell r="E186">
            <v>2.5275200000000001E-2</v>
          </cell>
          <cell r="F186" t="str">
            <v>Gas</v>
          </cell>
        </row>
        <row r="187">
          <cell r="E187">
            <v>1.883628E-4</v>
          </cell>
          <cell r="F187" t="str">
            <v>Liquid</v>
          </cell>
        </row>
        <row r="188">
          <cell r="E188">
            <v>3.1000670000000001E-2</v>
          </cell>
          <cell r="F188" t="str">
            <v>Liquid</v>
          </cell>
        </row>
        <row r="189">
          <cell r="E189">
            <v>0.36651499999999998</v>
          </cell>
          <cell r="F189" t="str">
            <v>Liquid</v>
          </cell>
        </row>
        <row r="190">
          <cell r="E190">
            <v>1.4799170000000001E-4</v>
          </cell>
          <cell r="F190" t="str">
            <v>Liquid</v>
          </cell>
        </row>
        <row r="191">
          <cell r="E191">
            <v>1.4799170000000001E-4</v>
          </cell>
          <cell r="F191" t="str">
            <v>Liquid</v>
          </cell>
        </row>
        <row r="192">
          <cell r="E192">
            <v>5.1758020000000002E-2</v>
          </cell>
          <cell r="F192" t="str">
            <v>Liquid</v>
          </cell>
        </row>
        <row r="193">
          <cell r="E193">
            <v>1.45878</v>
          </cell>
          <cell r="F193" t="str">
            <v>Liquid</v>
          </cell>
        </row>
        <row r="194">
          <cell r="E194">
            <v>1.840483E-2</v>
          </cell>
          <cell r="F194" t="str">
            <v>Liquid</v>
          </cell>
        </row>
        <row r="195">
          <cell r="E195">
            <v>0.76761939999999995</v>
          </cell>
          <cell r="F195" t="str">
            <v>Liquid</v>
          </cell>
        </row>
        <row r="196">
          <cell r="E196">
            <v>4.2049549999999998E-3</v>
          </cell>
          <cell r="F196" t="str">
            <v>Liquid</v>
          </cell>
        </row>
        <row r="197">
          <cell r="E197">
            <v>3.6580240000000002E-3</v>
          </cell>
          <cell r="F197" t="str">
            <v>Liquid</v>
          </cell>
        </row>
        <row r="198">
          <cell r="E198">
            <v>0.32963930000000002</v>
          </cell>
          <cell r="F198" t="str">
            <v>Liquid</v>
          </cell>
        </row>
        <row r="199">
          <cell r="E199">
            <v>0.84235079999999996</v>
          </cell>
          <cell r="F199" t="str">
            <v>Liquid</v>
          </cell>
        </row>
        <row r="200">
          <cell r="E200">
            <v>0.37523250000000002</v>
          </cell>
          <cell r="F200" t="str">
            <v>Liquid</v>
          </cell>
        </row>
        <row r="201">
          <cell r="E201">
            <v>1.0235300000000001</v>
          </cell>
          <cell r="F201" t="str">
            <v>Liquid</v>
          </cell>
        </row>
        <row r="202">
          <cell r="E202">
            <v>0.76004300000000002</v>
          </cell>
          <cell r="F202" t="str">
            <v>Liquid</v>
          </cell>
        </row>
        <row r="203">
          <cell r="E203">
            <v>0.3116564</v>
          </cell>
          <cell r="F203" t="str">
            <v>Liquid</v>
          </cell>
        </row>
        <row r="204">
          <cell r="E204">
            <v>1.022159</v>
          </cell>
          <cell r="F204" t="str">
            <v>Liquid</v>
          </cell>
        </row>
        <row r="205">
          <cell r="E205">
            <v>0.2029879</v>
          </cell>
          <cell r="F205" t="str">
            <v>Liquid</v>
          </cell>
        </row>
        <row r="206">
          <cell r="E206">
            <v>2.63164E-2</v>
          </cell>
          <cell r="F206" t="str">
            <v>Liquid</v>
          </cell>
        </row>
        <row r="207">
          <cell r="E207">
            <v>1.8097039999999998E-2</v>
          </cell>
          <cell r="F207" t="str">
            <v>Liquid</v>
          </cell>
        </row>
        <row r="208">
          <cell r="E208">
            <v>7.9039750000000006E-2</v>
          </cell>
          <cell r="F208" t="str">
            <v>Liquid</v>
          </cell>
        </row>
        <row r="209">
          <cell r="E209">
            <v>7.651094E-2</v>
          </cell>
          <cell r="F209" t="str">
            <v>Liquid</v>
          </cell>
        </row>
        <row r="210">
          <cell r="E210">
            <v>0.76155450000000002</v>
          </cell>
          <cell r="F210" t="str">
            <v>Liquid</v>
          </cell>
        </row>
        <row r="211">
          <cell r="E211">
            <v>0.31324269999999999</v>
          </cell>
          <cell r="F211" t="str">
            <v>Liquid</v>
          </cell>
        </row>
        <row r="212">
          <cell r="E212">
            <v>2.3975699999999999E-2</v>
          </cell>
          <cell r="F212" t="str">
            <v>Liquid</v>
          </cell>
        </row>
        <row r="213">
          <cell r="E213">
            <v>4.2612369999999997E-2</v>
          </cell>
          <cell r="F213" t="str">
            <v>Liquid</v>
          </cell>
        </row>
        <row r="214">
          <cell r="E214">
            <v>0.22295139999999999</v>
          </cell>
          <cell r="F214" t="str">
            <v>Liquid</v>
          </cell>
        </row>
        <row r="215">
          <cell r="E215">
            <v>0.75200789999999995</v>
          </cell>
          <cell r="F215" t="str">
            <v>Liquid</v>
          </cell>
        </row>
        <row r="216">
          <cell r="E216">
            <v>1.804637E-4</v>
          </cell>
          <cell r="F216" t="str">
            <v>Liquid</v>
          </cell>
        </row>
        <row r="217">
          <cell r="E217">
            <v>7.1241380000000007E-2</v>
          </cell>
          <cell r="F217" t="str">
            <v>Liquid</v>
          </cell>
        </row>
        <row r="218">
          <cell r="E218">
            <v>1.094889</v>
          </cell>
          <cell r="F218" t="str">
            <v>Liquid</v>
          </cell>
        </row>
        <row r="219">
          <cell r="E219">
            <v>6.4316470000000004E-3</v>
          </cell>
          <cell r="F219" t="str">
            <v>Liquid</v>
          </cell>
        </row>
        <row r="220">
          <cell r="E220">
            <v>1.1666030000000001E-2</v>
          </cell>
          <cell r="F220" t="str">
            <v>Liquid</v>
          </cell>
        </row>
        <row r="221">
          <cell r="E221">
            <v>1.644052E-2</v>
          </cell>
          <cell r="F221" t="str">
            <v>Liquid</v>
          </cell>
        </row>
        <row r="222">
          <cell r="E222">
            <v>1.2049529999999999E-2</v>
          </cell>
          <cell r="F222" t="str">
            <v>Liquid</v>
          </cell>
        </row>
        <row r="223">
          <cell r="E223">
            <v>0.14115269999999999</v>
          </cell>
          <cell r="F223" t="str">
            <v>Liquid</v>
          </cell>
        </row>
        <row r="224">
          <cell r="E224">
            <v>1.001516E-4</v>
          </cell>
          <cell r="F224" t="str">
            <v>Liquid</v>
          </cell>
        </row>
        <row r="225">
          <cell r="E225">
            <v>1.001516E-4</v>
          </cell>
          <cell r="F225" t="str">
            <v>Liquid</v>
          </cell>
        </row>
        <row r="226">
          <cell r="E226">
            <v>4.5631880000000001E-3</v>
          </cell>
          <cell r="F226" t="str">
            <v>Liquid</v>
          </cell>
        </row>
        <row r="227">
          <cell r="E227">
            <v>0.23971590000000001</v>
          </cell>
          <cell r="F227" t="str">
            <v>Liquid</v>
          </cell>
        </row>
        <row r="228">
          <cell r="E228">
            <v>3.313588E-2</v>
          </cell>
          <cell r="F228" t="str">
            <v>Liquid</v>
          </cell>
        </row>
        <row r="229">
          <cell r="E229">
            <v>0.34867379999999998</v>
          </cell>
          <cell r="F229" t="str">
            <v>Liquid</v>
          </cell>
        </row>
        <row r="230">
          <cell r="E230">
            <v>0.30721670000000001</v>
          </cell>
          <cell r="F230" t="str">
            <v>Liquid</v>
          </cell>
        </row>
        <row r="231">
          <cell r="E231">
            <v>0.52192240000000001</v>
          </cell>
          <cell r="F231" t="str">
            <v>Liquid</v>
          </cell>
        </row>
        <row r="232">
          <cell r="E232">
            <v>3.4486600000000001E-3</v>
          </cell>
          <cell r="F232" t="str">
            <v>Liquid</v>
          </cell>
        </row>
        <row r="233">
          <cell r="E233">
            <v>4.7501690000000003E-3</v>
          </cell>
          <cell r="F233" t="str">
            <v>Liquid</v>
          </cell>
        </row>
        <row r="234">
          <cell r="E234">
            <v>4.805864E-3</v>
          </cell>
          <cell r="F234" t="str">
            <v>Liquid</v>
          </cell>
        </row>
        <row r="235">
          <cell r="E235">
            <v>4.8246920000000002E-3</v>
          </cell>
          <cell r="F235" t="str">
            <v>Liquid</v>
          </cell>
        </row>
        <row r="236">
          <cell r="E236">
            <v>9.0454669999999997E-3</v>
          </cell>
          <cell r="F236" t="str">
            <v>Liquid</v>
          </cell>
        </row>
        <row r="237">
          <cell r="E237">
            <v>2.4716990000000001E-2</v>
          </cell>
          <cell r="F237" t="str">
            <v>Liquid</v>
          </cell>
        </row>
        <row r="238">
          <cell r="E238">
            <v>2.122189E-2</v>
          </cell>
          <cell r="F238" t="str">
            <v>Liquid</v>
          </cell>
        </row>
        <row r="239">
          <cell r="E239">
            <v>2.2624370000000001E-2</v>
          </cell>
          <cell r="F239" t="str">
            <v>Liquid</v>
          </cell>
        </row>
        <row r="240">
          <cell r="E240">
            <v>0.23345050000000001</v>
          </cell>
          <cell r="F240" t="str">
            <v>Liquid</v>
          </cell>
        </row>
        <row r="241">
          <cell r="E241">
            <v>0.23328009999999999</v>
          </cell>
          <cell r="F241" t="str">
            <v>Liquid</v>
          </cell>
        </row>
        <row r="242">
          <cell r="E242">
            <v>2.9404349999999999E-2</v>
          </cell>
          <cell r="F242" t="str">
            <v>Liquid</v>
          </cell>
        </row>
        <row r="243">
          <cell r="E243">
            <v>0.34055410000000003</v>
          </cell>
          <cell r="F243" t="str">
            <v>Liquid</v>
          </cell>
        </row>
        <row r="244">
          <cell r="E244">
            <v>4.4997519999999999E-2</v>
          </cell>
          <cell r="F244" t="str">
            <v>Liquid</v>
          </cell>
        </row>
        <row r="245">
          <cell r="E245">
            <v>0.33392159999999999</v>
          </cell>
          <cell r="F245" t="str">
            <v>Liquid</v>
          </cell>
        </row>
        <row r="246">
          <cell r="E246">
            <v>0.248944</v>
          </cell>
          <cell r="F246" t="str">
            <v>Liquid</v>
          </cell>
        </row>
        <row r="247">
          <cell r="E247">
            <v>0.2125928</v>
          </cell>
          <cell r="F247" t="str">
            <v>Liquid</v>
          </cell>
        </row>
        <row r="248">
          <cell r="E248">
            <v>5.6388889999999997E-2</v>
          </cell>
          <cell r="F248" t="str">
            <v>Liquid</v>
          </cell>
        </row>
        <row r="249">
          <cell r="E249">
            <v>4.5837610000000001E-2</v>
          </cell>
          <cell r="F249" t="str">
            <v>Liquid</v>
          </cell>
        </row>
        <row r="250">
          <cell r="E250">
            <v>0.33396730000000002</v>
          </cell>
          <cell r="F250" t="str">
            <v>Liquid</v>
          </cell>
        </row>
        <row r="251">
          <cell r="E251">
            <v>0.29628769999999999</v>
          </cell>
          <cell r="F251" t="str">
            <v>Liquid</v>
          </cell>
        </row>
        <row r="252">
          <cell r="E252">
            <v>0.42440329999999998</v>
          </cell>
          <cell r="F252" t="str">
            <v>Liquid</v>
          </cell>
        </row>
        <row r="253">
          <cell r="E253">
            <v>3.6915910000000003E-2</v>
          </cell>
          <cell r="F253" t="str">
            <v>Liquid</v>
          </cell>
        </row>
        <row r="254">
          <cell r="E254">
            <v>7.2469309999999995E-2</v>
          </cell>
          <cell r="F254" t="str">
            <v>Liquid</v>
          </cell>
        </row>
        <row r="255">
          <cell r="E255">
            <v>0.2734279</v>
          </cell>
          <cell r="F255" t="str">
            <v>Liquid</v>
          </cell>
        </row>
        <row r="256">
          <cell r="E256">
            <v>0.23003760000000001</v>
          </cell>
          <cell r="F256" t="str">
            <v>Liquid</v>
          </cell>
        </row>
        <row r="257">
          <cell r="E257">
            <v>0.2974367</v>
          </cell>
          <cell r="F257" t="str">
            <v>Liquid</v>
          </cell>
        </row>
        <row r="258">
          <cell r="E258">
            <v>4.5727990000000003E-2</v>
          </cell>
          <cell r="F258" t="str">
            <v>Liquid</v>
          </cell>
        </row>
        <row r="259">
          <cell r="E259">
            <v>0.25690420000000003</v>
          </cell>
          <cell r="F259" t="str">
            <v>Liquid</v>
          </cell>
        </row>
        <row r="260">
          <cell r="E260">
            <v>0.25381550000000003</v>
          </cell>
          <cell r="F260" t="str">
            <v>Liquid</v>
          </cell>
        </row>
        <row r="261">
          <cell r="E261">
            <v>1.6416679999999999E-2</v>
          </cell>
          <cell r="F261" t="str">
            <v>Liquid</v>
          </cell>
        </row>
        <row r="262">
          <cell r="E262">
            <v>3.598441E-3</v>
          </cell>
          <cell r="F262" t="str">
            <v>Liquid</v>
          </cell>
        </row>
        <row r="263">
          <cell r="E263">
            <v>4.8315230000000001E-2</v>
          </cell>
          <cell r="F263" t="str">
            <v>Liquid</v>
          </cell>
        </row>
        <row r="264">
          <cell r="E264">
            <v>1.107265E-2</v>
          </cell>
          <cell r="F264" t="str">
            <v>Liquid</v>
          </cell>
        </row>
        <row r="265">
          <cell r="E265">
            <v>1.885042E-2</v>
          </cell>
          <cell r="F265" t="str">
            <v>Liquid</v>
          </cell>
        </row>
        <row r="266">
          <cell r="E266">
            <v>1.74687E-2</v>
          </cell>
          <cell r="F266" t="str">
            <v>Liquid</v>
          </cell>
        </row>
        <row r="267">
          <cell r="E267">
            <v>1.609064E-2</v>
          </cell>
          <cell r="F267" t="str">
            <v>Liquid</v>
          </cell>
        </row>
        <row r="268">
          <cell r="E268">
            <v>1.906538E-2</v>
          </cell>
          <cell r="F268" t="str">
            <v>Liquid</v>
          </cell>
        </row>
        <row r="269">
          <cell r="E269">
            <v>0.48640939999999999</v>
          </cell>
          <cell r="F269" t="str">
            <v>Liquid</v>
          </cell>
        </row>
        <row r="270">
          <cell r="E270">
            <v>0.31012060000000002</v>
          </cell>
          <cell r="F270" t="str">
            <v>Liquid</v>
          </cell>
        </row>
        <row r="271">
          <cell r="E271">
            <v>0.48085349999999999</v>
          </cell>
          <cell r="F271" t="str">
            <v>Liquid</v>
          </cell>
        </row>
        <row r="272">
          <cell r="E272">
            <v>0.51710670000000003</v>
          </cell>
          <cell r="F272" t="str">
            <v>Liquid</v>
          </cell>
        </row>
        <row r="273">
          <cell r="E273">
            <v>3.5644240000000001E-2</v>
          </cell>
          <cell r="F273" t="str">
            <v>Liquid</v>
          </cell>
        </row>
        <row r="274">
          <cell r="E274">
            <v>9.4335760000000005E-2</v>
          </cell>
          <cell r="F274" t="str">
            <v>Liquid</v>
          </cell>
        </row>
        <row r="275">
          <cell r="E275">
            <v>0.26913949999999998</v>
          </cell>
          <cell r="F275" t="str">
            <v>Liquid</v>
          </cell>
        </row>
        <row r="276">
          <cell r="E276">
            <v>0.2093411</v>
          </cell>
          <cell r="F276" t="str">
            <v>Liquid</v>
          </cell>
        </row>
        <row r="277">
          <cell r="E277">
            <v>6.5371310000000003E-4</v>
          </cell>
          <cell r="F277" t="str">
            <v>Liquid</v>
          </cell>
        </row>
        <row r="278">
          <cell r="E278">
            <v>6.5371310000000003E-4</v>
          </cell>
          <cell r="F278" t="str">
            <v>Liquid</v>
          </cell>
        </row>
        <row r="279">
          <cell r="E279">
            <v>2.7453420000000001E-4</v>
          </cell>
          <cell r="F279" t="str">
            <v>Liquid</v>
          </cell>
        </row>
        <row r="280">
          <cell r="E280">
            <v>2.0318059999999999E-2</v>
          </cell>
          <cell r="F280" t="str">
            <v>Liquid</v>
          </cell>
        </row>
        <row r="281">
          <cell r="E281">
            <v>0.12707170000000001</v>
          </cell>
          <cell r="F281" t="str">
            <v>Liquid</v>
          </cell>
        </row>
        <row r="282">
          <cell r="E282">
            <v>3.2951330000000001E-2</v>
          </cell>
          <cell r="F282" t="str">
            <v>Liquid</v>
          </cell>
        </row>
        <row r="283">
          <cell r="E283">
            <v>0.34705249999999999</v>
          </cell>
          <cell r="F283" t="str">
            <v>Liquid</v>
          </cell>
        </row>
        <row r="284">
          <cell r="E284">
            <v>0.31632830000000001</v>
          </cell>
          <cell r="F284" t="str">
            <v>Liquid</v>
          </cell>
        </row>
        <row r="285">
          <cell r="E285">
            <v>0.31615280000000001</v>
          </cell>
          <cell r="F285" t="str">
            <v>Liquid</v>
          </cell>
        </row>
        <row r="286">
          <cell r="E286">
            <v>5.4949769999999998E-3</v>
          </cell>
          <cell r="F286" t="str">
            <v>Liquid</v>
          </cell>
        </row>
        <row r="287">
          <cell r="E287">
            <v>0.21060889999999999</v>
          </cell>
          <cell r="F287" t="str">
            <v>Liquid</v>
          </cell>
        </row>
        <row r="288">
          <cell r="E288">
            <v>0.28293960000000001</v>
          </cell>
          <cell r="F288" t="str">
            <v>Liquid</v>
          </cell>
        </row>
        <row r="289">
          <cell r="E289">
            <v>0.48820920000000001</v>
          </cell>
          <cell r="F289" t="str">
            <v>Liquid</v>
          </cell>
        </row>
        <row r="290">
          <cell r="E290">
            <v>1.0372330000000001E-2</v>
          </cell>
          <cell r="F290" t="str">
            <v>Liquid</v>
          </cell>
        </row>
        <row r="291">
          <cell r="E291">
            <v>2.6976569999999998E-2</v>
          </cell>
          <cell r="F291" t="str">
            <v>Liquid</v>
          </cell>
        </row>
        <row r="292">
          <cell r="E292">
            <v>0.1274787</v>
          </cell>
          <cell r="F292" t="str">
            <v>Liquid</v>
          </cell>
        </row>
        <row r="293">
          <cell r="E293">
            <v>2.8233029999999999E-2</v>
          </cell>
          <cell r="F293" t="str">
            <v>Liquid</v>
          </cell>
        </row>
        <row r="294">
          <cell r="E294">
            <v>0.12389260000000001</v>
          </cell>
          <cell r="F294" t="str">
            <v>Liquid</v>
          </cell>
        </row>
        <row r="295">
          <cell r="E295">
            <v>0.33118720000000001</v>
          </cell>
          <cell r="F295" t="str">
            <v>Liquid</v>
          </cell>
        </row>
        <row r="296">
          <cell r="E296">
            <v>0.99659940000000002</v>
          </cell>
          <cell r="F296" t="str">
            <v>Liquid</v>
          </cell>
        </row>
        <row r="297">
          <cell r="E297">
            <v>0.37743510000000002</v>
          </cell>
          <cell r="F297" t="str">
            <v>Liquid</v>
          </cell>
        </row>
        <row r="298">
          <cell r="E298">
            <v>5.1965689999999998E-3</v>
          </cell>
          <cell r="F298" t="str">
            <v>Liquid</v>
          </cell>
        </row>
        <row r="299">
          <cell r="E299">
            <v>0.27460770000000001</v>
          </cell>
          <cell r="F299" t="str">
            <v>Liquid</v>
          </cell>
        </row>
        <row r="300">
          <cell r="E300">
            <v>5.1151370000000003E-4</v>
          </cell>
          <cell r="F300" t="str">
            <v>Liquid</v>
          </cell>
        </row>
        <row r="301">
          <cell r="E301">
            <v>0.1354833</v>
          </cell>
          <cell r="F301" t="str">
            <v>Liquid</v>
          </cell>
        </row>
        <row r="306">
          <cell r="E306">
            <v>54.726968153340017</v>
          </cell>
        </row>
      </sheetData>
      <sheetData sheetId="2">
        <row r="1">
          <cell r="D1" t="str">
            <v>Rise</v>
          </cell>
          <cell r="E1" t="str">
            <v>IntersectMiles</v>
          </cell>
          <cell r="F1" t="str">
            <v>Subclass</v>
          </cell>
        </row>
        <row r="2">
          <cell r="D2">
            <v>0</v>
          </cell>
          <cell r="E2">
            <v>3.5317660000000001E-2</v>
          </cell>
          <cell r="F2" t="str">
            <v>Liquid</v>
          </cell>
        </row>
        <row r="3">
          <cell r="D3">
            <v>0</v>
          </cell>
          <cell r="E3">
            <v>0.13146060000000001</v>
          </cell>
          <cell r="F3" t="str">
            <v>Liquid</v>
          </cell>
        </row>
        <row r="4">
          <cell r="D4">
            <v>0</v>
          </cell>
          <cell r="E4">
            <v>6.5084779999999995E-2</v>
          </cell>
          <cell r="F4" t="str">
            <v>Liquid</v>
          </cell>
        </row>
        <row r="5">
          <cell r="D5">
            <v>1</v>
          </cell>
          <cell r="E5">
            <v>1.055496E-2</v>
          </cell>
          <cell r="F5" t="str">
            <v>Liquid</v>
          </cell>
        </row>
        <row r="6">
          <cell r="D6">
            <v>1</v>
          </cell>
          <cell r="E6">
            <v>5.5009229999999996E-3</v>
          </cell>
          <cell r="F6" t="str">
            <v>Liquid</v>
          </cell>
        </row>
        <row r="7">
          <cell r="D7">
            <v>1</v>
          </cell>
          <cell r="E7">
            <v>2.7610379999999998E-4</v>
          </cell>
          <cell r="F7" t="str">
            <v>Liquid</v>
          </cell>
        </row>
        <row r="8">
          <cell r="D8">
            <v>1</v>
          </cell>
          <cell r="E8">
            <v>1.8201809999999999E-3</v>
          </cell>
          <cell r="F8" t="str">
            <v>Liquid</v>
          </cell>
        </row>
        <row r="9">
          <cell r="D9">
            <v>1</v>
          </cell>
          <cell r="E9">
            <v>1.67768E-3</v>
          </cell>
          <cell r="F9" t="str">
            <v>Liquid</v>
          </cell>
        </row>
        <row r="10">
          <cell r="D10">
            <v>1</v>
          </cell>
          <cell r="E10">
            <v>3.2215260000000002E-3</v>
          </cell>
          <cell r="F10" t="str">
            <v>Liquid</v>
          </cell>
        </row>
        <row r="11">
          <cell r="D11">
            <v>1</v>
          </cell>
          <cell r="E11">
            <v>1.5352969999999999E-3</v>
          </cell>
          <cell r="F11" t="str">
            <v>Liquid</v>
          </cell>
        </row>
        <row r="12">
          <cell r="D12">
            <v>1</v>
          </cell>
          <cell r="E12">
            <v>1.488278E-2</v>
          </cell>
          <cell r="F12" t="str">
            <v>Liquid</v>
          </cell>
        </row>
        <row r="13">
          <cell r="D13">
            <v>1</v>
          </cell>
          <cell r="E13">
            <v>3.9825820000000001E-3</v>
          </cell>
          <cell r="F13" t="str">
            <v>Liquid</v>
          </cell>
        </row>
        <row r="14">
          <cell r="D14">
            <v>1</v>
          </cell>
          <cell r="E14">
            <v>2.4388389999999999E-3</v>
          </cell>
          <cell r="F14" t="str">
            <v>Liquid</v>
          </cell>
        </row>
        <row r="15">
          <cell r="D15">
            <v>1</v>
          </cell>
          <cell r="E15">
            <v>8.9509629999999995E-4</v>
          </cell>
          <cell r="F15" t="str">
            <v>Liquid</v>
          </cell>
        </row>
        <row r="16">
          <cell r="D16">
            <v>1</v>
          </cell>
          <cell r="E16">
            <v>3.3059460000000001E-3</v>
          </cell>
          <cell r="F16" t="str">
            <v>Liquid</v>
          </cell>
        </row>
        <row r="17">
          <cell r="D17">
            <v>1</v>
          </cell>
          <cell r="E17">
            <v>1.6737510000000001E-2</v>
          </cell>
          <cell r="F17" t="str">
            <v>Liquid</v>
          </cell>
        </row>
        <row r="18">
          <cell r="D18">
            <v>1</v>
          </cell>
          <cell r="E18">
            <v>5.2133759999999996E-4</v>
          </cell>
          <cell r="F18" t="str">
            <v>Liquid</v>
          </cell>
        </row>
        <row r="19">
          <cell r="D19">
            <v>1</v>
          </cell>
          <cell r="E19">
            <v>4.7880309999999999E-3</v>
          </cell>
          <cell r="F19" t="str">
            <v>Liquid</v>
          </cell>
        </row>
        <row r="20">
          <cell r="D20">
            <v>1</v>
          </cell>
          <cell r="E20">
            <v>7.4089220000000001E-3</v>
          </cell>
          <cell r="F20" t="str">
            <v>Liquid</v>
          </cell>
        </row>
        <row r="21">
          <cell r="D21">
            <v>1</v>
          </cell>
          <cell r="E21">
            <v>0.23236299999999999</v>
          </cell>
          <cell r="F21" t="str">
            <v>Liquid</v>
          </cell>
        </row>
        <row r="22">
          <cell r="D22">
            <v>2</v>
          </cell>
          <cell r="E22">
            <v>4.5069589999999996E-3</v>
          </cell>
          <cell r="F22" t="str">
            <v>Liquid</v>
          </cell>
        </row>
        <row r="23">
          <cell r="D23">
            <v>2</v>
          </cell>
          <cell r="E23">
            <v>6.1143370000000002E-2</v>
          </cell>
          <cell r="F23" t="str">
            <v>Liquid</v>
          </cell>
        </row>
        <row r="24">
          <cell r="D24">
            <v>2</v>
          </cell>
          <cell r="E24">
            <v>3.9326189999999997E-2</v>
          </cell>
          <cell r="F24" t="str">
            <v>Liquid</v>
          </cell>
        </row>
        <row r="25">
          <cell r="D25">
            <v>2</v>
          </cell>
          <cell r="E25">
            <v>8.9936799999999997E-2</v>
          </cell>
          <cell r="F25" t="str">
            <v>Liquid</v>
          </cell>
        </row>
        <row r="26">
          <cell r="D26">
            <v>2</v>
          </cell>
          <cell r="E26">
            <v>4.1856389999999998E-4</v>
          </cell>
          <cell r="F26" t="str">
            <v>Liquid</v>
          </cell>
        </row>
        <row r="27">
          <cell r="D27">
            <v>2</v>
          </cell>
          <cell r="E27">
            <v>1.9624500000000001E-3</v>
          </cell>
          <cell r="F27" t="str">
            <v>Liquid</v>
          </cell>
        </row>
        <row r="28">
          <cell r="D28">
            <v>2</v>
          </cell>
          <cell r="E28">
            <v>3.2301529999999999E-3</v>
          </cell>
          <cell r="F28" t="str">
            <v>Liquid</v>
          </cell>
        </row>
        <row r="29">
          <cell r="D29">
            <v>2</v>
          </cell>
          <cell r="E29">
            <v>2.9539710000000001E-3</v>
          </cell>
          <cell r="F29" t="str">
            <v>Liquid</v>
          </cell>
        </row>
        <row r="30">
          <cell r="D30">
            <v>2</v>
          </cell>
          <cell r="E30">
            <v>1.422242E-2</v>
          </cell>
          <cell r="F30" t="str">
            <v>Liquid</v>
          </cell>
        </row>
        <row r="31">
          <cell r="D31">
            <v>2</v>
          </cell>
          <cell r="E31">
            <v>3.9954000000000003E-2</v>
          </cell>
          <cell r="F31" t="str">
            <v>Liquid</v>
          </cell>
        </row>
        <row r="32">
          <cell r="D32">
            <v>2</v>
          </cell>
          <cell r="E32">
            <v>3.2302139999999999E-3</v>
          </cell>
          <cell r="F32" t="str">
            <v>Liquid</v>
          </cell>
        </row>
        <row r="33">
          <cell r="D33">
            <v>2</v>
          </cell>
          <cell r="E33">
            <v>2.477651E-3</v>
          </cell>
          <cell r="F33" t="str">
            <v>Liquid</v>
          </cell>
        </row>
        <row r="34">
          <cell r="D34">
            <v>2</v>
          </cell>
          <cell r="E34">
            <v>7.9129510000000005E-4</v>
          </cell>
          <cell r="F34" t="str">
            <v>Liquid</v>
          </cell>
        </row>
        <row r="35">
          <cell r="D35">
            <v>2</v>
          </cell>
          <cell r="E35">
            <v>2.3350369999999999E-3</v>
          </cell>
          <cell r="F35" t="str">
            <v>Liquid</v>
          </cell>
        </row>
        <row r="36">
          <cell r="D36">
            <v>2</v>
          </cell>
          <cell r="E36">
            <v>3.2301320000000001E-3</v>
          </cell>
          <cell r="F36" t="str">
            <v>Liquid</v>
          </cell>
        </row>
        <row r="37">
          <cell r="D37">
            <v>2</v>
          </cell>
          <cell r="E37">
            <v>3.9694090000000001E-2</v>
          </cell>
          <cell r="F37" t="str">
            <v>Liquid</v>
          </cell>
        </row>
        <row r="38">
          <cell r="D38">
            <v>2</v>
          </cell>
          <cell r="E38">
            <v>4.6522760000000003E-2</v>
          </cell>
          <cell r="F38" t="str">
            <v>Liquid</v>
          </cell>
        </row>
        <row r="39">
          <cell r="D39">
            <v>2</v>
          </cell>
          <cell r="E39">
            <v>3.7124049999999998E-3</v>
          </cell>
          <cell r="F39" t="str">
            <v>Liquid</v>
          </cell>
        </row>
        <row r="40">
          <cell r="D40">
            <v>2</v>
          </cell>
          <cell r="E40">
            <v>6.1286100000000003E-2</v>
          </cell>
          <cell r="F40" t="str">
            <v>Liquid</v>
          </cell>
        </row>
        <row r="41">
          <cell r="D41">
            <v>2</v>
          </cell>
          <cell r="E41">
            <v>7.4727409999999994E-2</v>
          </cell>
          <cell r="F41" t="str">
            <v>Liquid</v>
          </cell>
        </row>
        <row r="42">
          <cell r="D42">
            <v>2</v>
          </cell>
          <cell r="E42">
            <v>2.5325270000000001E-3</v>
          </cell>
          <cell r="F42" t="str">
            <v>Liquid</v>
          </cell>
        </row>
        <row r="43">
          <cell r="D43">
            <v>2</v>
          </cell>
          <cell r="E43">
            <v>5.0649900000000001E-3</v>
          </cell>
          <cell r="F43" t="str">
            <v>Liquid</v>
          </cell>
        </row>
        <row r="44">
          <cell r="D44">
            <v>2</v>
          </cell>
          <cell r="E44">
            <v>1.237075E-2</v>
          </cell>
          <cell r="F44" t="str">
            <v>Liquid</v>
          </cell>
        </row>
        <row r="45">
          <cell r="D45">
            <v>2</v>
          </cell>
          <cell r="E45">
            <v>9.6273490000000001E-4</v>
          </cell>
          <cell r="F45" t="str">
            <v>Liquid</v>
          </cell>
        </row>
        <row r="46">
          <cell r="D46">
            <v>2</v>
          </cell>
          <cell r="E46">
            <v>2.4630050000000001E-2</v>
          </cell>
          <cell r="F46" t="str">
            <v>Liquid</v>
          </cell>
        </row>
        <row r="47">
          <cell r="D47">
            <v>2</v>
          </cell>
          <cell r="E47">
            <v>6.0781460000000002E-2</v>
          </cell>
          <cell r="F47" t="str">
            <v>Liquid</v>
          </cell>
        </row>
        <row r="48">
          <cell r="D48">
            <v>2</v>
          </cell>
          <cell r="E48">
            <v>3.2923019999999997E-2</v>
          </cell>
          <cell r="F48" t="str">
            <v>Liquid</v>
          </cell>
        </row>
        <row r="49">
          <cell r="D49">
            <v>3</v>
          </cell>
          <cell r="E49">
            <v>2.8826839999999999E-3</v>
          </cell>
          <cell r="F49" t="str">
            <v>Liquid</v>
          </cell>
        </row>
        <row r="50">
          <cell r="D50">
            <v>3</v>
          </cell>
          <cell r="E50">
            <v>1.4097029999999999E-4</v>
          </cell>
          <cell r="F50" t="str">
            <v>Liquid</v>
          </cell>
        </row>
        <row r="51">
          <cell r="D51">
            <v>3</v>
          </cell>
          <cell r="E51">
            <v>7.9276439999999998E-4</v>
          </cell>
          <cell r="F51" t="str">
            <v>Liquid</v>
          </cell>
        </row>
        <row r="52">
          <cell r="D52">
            <v>3</v>
          </cell>
          <cell r="E52">
            <v>5.0673790000000003E-3</v>
          </cell>
          <cell r="F52" t="str">
            <v>Liquid</v>
          </cell>
        </row>
        <row r="53">
          <cell r="D53">
            <v>3</v>
          </cell>
          <cell r="E53">
            <v>7.4593569999999998E-3</v>
          </cell>
          <cell r="F53" t="str">
            <v>Liquid</v>
          </cell>
        </row>
        <row r="54">
          <cell r="D54">
            <v>3</v>
          </cell>
          <cell r="E54">
            <v>7.8103469999999996E-3</v>
          </cell>
          <cell r="F54" t="str">
            <v>Liquid</v>
          </cell>
        </row>
        <row r="55">
          <cell r="D55">
            <v>3</v>
          </cell>
          <cell r="E55">
            <v>4.4180230000000001E-2</v>
          </cell>
          <cell r="F55" t="str">
            <v>Liquid</v>
          </cell>
        </row>
        <row r="56">
          <cell r="D56">
            <v>3</v>
          </cell>
          <cell r="E56">
            <v>7.3511590000000003E-3</v>
          </cell>
          <cell r="F56" t="str">
            <v>Liquid</v>
          </cell>
        </row>
        <row r="57">
          <cell r="D57">
            <v>3</v>
          </cell>
          <cell r="E57">
            <v>3.3248359999999999E-3</v>
          </cell>
          <cell r="F57" t="str">
            <v>Liquid</v>
          </cell>
        </row>
        <row r="58">
          <cell r="D58">
            <v>3</v>
          </cell>
          <cell r="E58">
            <v>8.4571570000000005E-4</v>
          </cell>
          <cell r="F58" t="str">
            <v>Liquid</v>
          </cell>
        </row>
        <row r="59">
          <cell r="D59">
            <v>3</v>
          </cell>
          <cell r="E59">
            <v>7.0325499999999996E-4</v>
          </cell>
          <cell r="F59" t="str">
            <v>Liquid</v>
          </cell>
        </row>
        <row r="60">
          <cell r="D60">
            <v>3</v>
          </cell>
          <cell r="E60">
            <v>5.6079450000000005E-4</v>
          </cell>
          <cell r="F60" t="str">
            <v>Liquid</v>
          </cell>
        </row>
        <row r="61">
          <cell r="D61">
            <v>3</v>
          </cell>
          <cell r="E61">
            <v>1.2677039999999999E-3</v>
          </cell>
          <cell r="F61" t="str">
            <v>Liquid</v>
          </cell>
        </row>
        <row r="62">
          <cell r="D62">
            <v>3</v>
          </cell>
          <cell r="E62">
            <v>2.2699980000000002E-2</v>
          </cell>
          <cell r="F62" t="str">
            <v>Liquid</v>
          </cell>
        </row>
        <row r="63">
          <cell r="D63">
            <v>3</v>
          </cell>
          <cell r="E63">
            <v>2.906563E-3</v>
          </cell>
          <cell r="F63" t="str">
            <v>Liquid</v>
          </cell>
        </row>
        <row r="64">
          <cell r="D64">
            <v>3</v>
          </cell>
          <cell r="E64">
            <v>3.2042189999999999E-3</v>
          </cell>
          <cell r="F64" t="str">
            <v>Liquid</v>
          </cell>
        </row>
        <row r="65">
          <cell r="D65">
            <v>3</v>
          </cell>
          <cell r="E65">
            <v>3.0944060000000001E-3</v>
          </cell>
          <cell r="F65" t="str">
            <v>Liquid</v>
          </cell>
        </row>
        <row r="66">
          <cell r="D66">
            <v>3</v>
          </cell>
          <cell r="E66">
            <v>3.1096100000000001E-3</v>
          </cell>
          <cell r="F66" t="str">
            <v>Liquid</v>
          </cell>
        </row>
        <row r="67">
          <cell r="D67">
            <v>3</v>
          </cell>
          <cell r="E67">
            <v>3.0163870000000001E-3</v>
          </cell>
          <cell r="F67" t="str">
            <v>Liquid</v>
          </cell>
        </row>
        <row r="68">
          <cell r="D68">
            <v>3</v>
          </cell>
          <cell r="E68">
            <v>1.010832E-2</v>
          </cell>
          <cell r="F68" t="str">
            <v>Liquid</v>
          </cell>
        </row>
        <row r="69">
          <cell r="D69">
            <v>3</v>
          </cell>
          <cell r="E69">
            <v>5.2617749999999998E-2</v>
          </cell>
          <cell r="F69" t="str">
            <v>Liquid</v>
          </cell>
        </row>
        <row r="70">
          <cell r="D70">
            <v>3</v>
          </cell>
          <cell r="E70">
            <v>1.0832050000000001E-3</v>
          </cell>
          <cell r="F70" t="str">
            <v>Liquid</v>
          </cell>
        </row>
        <row r="71">
          <cell r="D71">
            <v>3</v>
          </cell>
          <cell r="E71">
            <v>4.4103990000000003E-2</v>
          </cell>
          <cell r="F71" t="str">
            <v>Liquid</v>
          </cell>
        </row>
        <row r="72">
          <cell r="D72">
            <v>3</v>
          </cell>
          <cell r="E72">
            <v>2.5788859999999999E-3</v>
          </cell>
          <cell r="F72" t="str">
            <v>Liquid</v>
          </cell>
        </row>
        <row r="73">
          <cell r="D73">
            <v>3</v>
          </cell>
          <cell r="E73">
            <v>4.6806230000000001E-3</v>
          </cell>
          <cell r="F73" t="str">
            <v>Liquid</v>
          </cell>
        </row>
        <row r="74">
          <cell r="D74">
            <v>3</v>
          </cell>
          <cell r="E74">
            <v>5.5111700000000001E-3</v>
          </cell>
          <cell r="F74" t="str">
            <v>Liquid</v>
          </cell>
        </row>
        <row r="75">
          <cell r="D75">
            <v>3</v>
          </cell>
          <cell r="E75">
            <v>1.4305710000000001E-3</v>
          </cell>
          <cell r="F75" t="str">
            <v>Liquid</v>
          </cell>
        </row>
        <row r="76">
          <cell r="D76">
            <v>3</v>
          </cell>
          <cell r="E76">
            <v>9.5590929999999994E-3</v>
          </cell>
          <cell r="F76" t="str">
            <v>Liquid</v>
          </cell>
        </row>
        <row r="77">
          <cell r="D77">
            <v>3</v>
          </cell>
          <cell r="E77">
            <v>1.6251760000000001E-2</v>
          </cell>
          <cell r="F77" t="str">
            <v>Liquid</v>
          </cell>
        </row>
        <row r="78">
          <cell r="D78">
            <v>3</v>
          </cell>
          <cell r="E78">
            <v>1.900818E-2</v>
          </cell>
          <cell r="F78" t="str">
            <v>Liquid</v>
          </cell>
        </row>
        <row r="79">
          <cell r="D79">
            <v>3</v>
          </cell>
          <cell r="E79">
            <v>9.597754E-2</v>
          </cell>
          <cell r="F79" t="str">
            <v>Liquid</v>
          </cell>
        </row>
        <row r="80">
          <cell r="D80">
            <v>3</v>
          </cell>
          <cell r="E80">
            <v>5.7167160000000002E-3</v>
          </cell>
          <cell r="F80" t="str">
            <v>Liquid</v>
          </cell>
        </row>
        <row r="81">
          <cell r="D81">
            <v>3</v>
          </cell>
          <cell r="E81">
            <v>5.0649780000000004E-3</v>
          </cell>
          <cell r="F81" t="str">
            <v>Liquid</v>
          </cell>
        </row>
        <row r="82">
          <cell r="D82">
            <v>3</v>
          </cell>
          <cell r="E82">
            <v>3.3054020000000003E-2</v>
          </cell>
          <cell r="F82" t="str">
            <v>Liquid</v>
          </cell>
        </row>
        <row r="83">
          <cell r="D83">
            <v>4</v>
          </cell>
          <cell r="E83">
            <v>4.9048859999999998E-3</v>
          </cell>
          <cell r="F83" t="str">
            <v>Liquid</v>
          </cell>
        </row>
        <row r="84">
          <cell r="D84">
            <v>4</v>
          </cell>
          <cell r="E84">
            <v>5.1615760000000002E-3</v>
          </cell>
          <cell r="F84" t="str">
            <v>Liquid</v>
          </cell>
        </row>
        <row r="85">
          <cell r="D85">
            <v>4</v>
          </cell>
          <cell r="E85">
            <v>1.007876E-3</v>
          </cell>
          <cell r="F85" t="str">
            <v>Liquid</v>
          </cell>
        </row>
        <row r="86">
          <cell r="D86">
            <v>4</v>
          </cell>
          <cell r="E86">
            <v>2.9651450000000002E-3</v>
          </cell>
          <cell r="F86" t="str">
            <v>Liquid</v>
          </cell>
        </row>
        <row r="87">
          <cell r="D87">
            <v>4</v>
          </cell>
          <cell r="E87">
            <v>5.0574849999999996E-3</v>
          </cell>
          <cell r="F87" t="str">
            <v>Liquid</v>
          </cell>
        </row>
        <row r="88">
          <cell r="D88">
            <v>4</v>
          </cell>
          <cell r="E88">
            <v>2.6639620000000002E-3</v>
          </cell>
          <cell r="F88" t="str">
            <v>Liquid</v>
          </cell>
        </row>
        <row r="89">
          <cell r="D89">
            <v>4</v>
          </cell>
          <cell r="E89">
            <v>3.1046120000000001E-3</v>
          </cell>
          <cell r="F89" t="str">
            <v>Liquid</v>
          </cell>
        </row>
        <row r="90">
          <cell r="D90">
            <v>4</v>
          </cell>
          <cell r="E90">
            <v>1.170943E-3</v>
          </cell>
          <cell r="F90" t="str">
            <v>Liquid</v>
          </cell>
        </row>
        <row r="91">
          <cell r="D91">
            <v>4</v>
          </cell>
          <cell r="E91">
            <v>6.0634390000000003E-3</v>
          </cell>
          <cell r="F91" t="str">
            <v>Liquid</v>
          </cell>
        </row>
        <row r="92">
          <cell r="D92">
            <v>4</v>
          </cell>
          <cell r="E92">
            <v>6.6217890000000003E-3</v>
          </cell>
          <cell r="F92" t="str">
            <v>Liquid</v>
          </cell>
        </row>
        <row r="93">
          <cell r="D93">
            <v>4</v>
          </cell>
          <cell r="E93">
            <v>2.2922149999999998E-3</v>
          </cell>
          <cell r="F93" t="str">
            <v>Liquid</v>
          </cell>
        </row>
        <row r="94">
          <cell r="D94">
            <v>4</v>
          </cell>
          <cell r="E94">
            <v>2.674414E-3</v>
          </cell>
          <cell r="F94" t="str">
            <v>Liquid</v>
          </cell>
        </row>
        <row r="95">
          <cell r="D95">
            <v>4</v>
          </cell>
          <cell r="E95">
            <v>4.2181900000000001E-3</v>
          </cell>
          <cell r="F95" t="str">
            <v>Liquid</v>
          </cell>
        </row>
        <row r="96">
          <cell r="D96">
            <v>4</v>
          </cell>
          <cell r="E96">
            <v>2.5319520000000001E-3</v>
          </cell>
          <cell r="F96" t="str">
            <v>Liquid</v>
          </cell>
        </row>
        <row r="97">
          <cell r="D97">
            <v>4</v>
          </cell>
          <cell r="E97">
            <v>2.7388659999999999E-2</v>
          </cell>
          <cell r="F97" t="str">
            <v>Liquid</v>
          </cell>
        </row>
        <row r="98">
          <cell r="D98">
            <v>4</v>
          </cell>
          <cell r="E98">
            <v>1.38087E-3</v>
          </cell>
          <cell r="F98" t="str">
            <v>Liquid</v>
          </cell>
        </row>
        <row r="99">
          <cell r="D99">
            <v>4</v>
          </cell>
          <cell r="E99">
            <v>4.5669279999999996E-3</v>
          </cell>
          <cell r="F99" t="str">
            <v>Liquid</v>
          </cell>
        </row>
        <row r="100">
          <cell r="D100">
            <v>4</v>
          </cell>
          <cell r="E100">
            <v>1.071881E-3</v>
          </cell>
          <cell r="F100" t="str">
            <v>Liquid</v>
          </cell>
        </row>
        <row r="101">
          <cell r="D101">
            <v>4</v>
          </cell>
          <cell r="E101">
            <v>3.174999E-3</v>
          </cell>
          <cell r="F101" t="str">
            <v>Liquid</v>
          </cell>
        </row>
        <row r="102">
          <cell r="D102">
            <v>4</v>
          </cell>
          <cell r="E102">
            <v>2.5405990000000002E-3</v>
          </cell>
          <cell r="F102" t="str">
            <v>Liquid</v>
          </cell>
        </row>
        <row r="103">
          <cell r="D103">
            <v>4</v>
          </cell>
          <cell r="E103">
            <v>5.266911E-3</v>
          </cell>
          <cell r="F103" t="str">
            <v>Liquid</v>
          </cell>
        </row>
        <row r="104">
          <cell r="D104">
            <v>4</v>
          </cell>
          <cell r="E104">
            <v>5.1576340000000004E-3</v>
          </cell>
          <cell r="F104" t="str">
            <v>Liquid</v>
          </cell>
        </row>
        <row r="105">
          <cell r="D105">
            <v>4</v>
          </cell>
          <cell r="E105">
            <v>5.5097779999999999E-3</v>
          </cell>
          <cell r="F105" t="str">
            <v>Liquid</v>
          </cell>
        </row>
        <row r="106">
          <cell r="D106">
            <v>4</v>
          </cell>
          <cell r="E106">
            <v>1.152082E-3</v>
          </cell>
          <cell r="F106" t="str">
            <v>Liquid</v>
          </cell>
        </row>
        <row r="107">
          <cell r="D107">
            <v>4</v>
          </cell>
          <cell r="E107">
            <v>1.138517E-2</v>
          </cell>
          <cell r="F107" t="str">
            <v>Liquid</v>
          </cell>
        </row>
        <row r="108">
          <cell r="D108">
            <v>4</v>
          </cell>
          <cell r="E108">
            <v>1.0750010000000001E-2</v>
          </cell>
          <cell r="F108" t="str">
            <v>Liquid</v>
          </cell>
        </row>
        <row r="109">
          <cell r="D109">
            <v>4</v>
          </cell>
          <cell r="E109">
            <v>1.6007689999999999E-3</v>
          </cell>
          <cell r="F109" t="str">
            <v>Liquid</v>
          </cell>
        </row>
        <row r="110">
          <cell r="D110">
            <v>4</v>
          </cell>
          <cell r="E110">
            <v>1.9263499999999999E-2</v>
          </cell>
          <cell r="F110" t="str">
            <v>Liquid</v>
          </cell>
        </row>
        <row r="111">
          <cell r="D111">
            <v>4</v>
          </cell>
          <cell r="E111">
            <v>1.566592E-2</v>
          </cell>
          <cell r="F111" t="str">
            <v>Liquid</v>
          </cell>
        </row>
        <row r="112">
          <cell r="D112">
            <v>4</v>
          </cell>
          <cell r="E112">
            <v>3.3106640000000001E-3</v>
          </cell>
          <cell r="F112" t="str">
            <v>Liquid</v>
          </cell>
        </row>
        <row r="113">
          <cell r="D113">
            <v>4</v>
          </cell>
          <cell r="E113">
            <v>2.7440519999999999E-2</v>
          </cell>
          <cell r="F113" t="str">
            <v>Liquid</v>
          </cell>
        </row>
        <row r="114">
          <cell r="D114">
            <v>4</v>
          </cell>
          <cell r="E114">
            <v>0.1078929</v>
          </cell>
          <cell r="F114" t="str">
            <v>Liquid</v>
          </cell>
        </row>
        <row r="115">
          <cell r="D115">
            <v>4</v>
          </cell>
          <cell r="E115">
            <v>9.3896560000000004E-2</v>
          </cell>
          <cell r="F115" t="str">
            <v>Liquid</v>
          </cell>
        </row>
        <row r="116">
          <cell r="D116">
            <v>5</v>
          </cell>
          <cell r="E116">
            <v>5.7533800000000003E-2</v>
          </cell>
          <cell r="F116" t="str">
            <v>Liquid</v>
          </cell>
        </row>
        <row r="117">
          <cell r="D117">
            <v>5</v>
          </cell>
          <cell r="E117">
            <v>2.5807460000000001E-3</v>
          </cell>
          <cell r="F117" t="str">
            <v>Liquid</v>
          </cell>
        </row>
        <row r="118">
          <cell r="D118">
            <v>5</v>
          </cell>
          <cell r="E118">
            <v>1.170082E-3</v>
          </cell>
          <cell r="F118" t="str">
            <v>Liquid</v>
          </cell>
        </row>
        <row r="119">
          <cell r="D119">
            <v>5</v>
          </cell>
          <cell r="E119">
            <v>2.8695430000000001E-4</v>
          </cell>
          <cell r="F119" t="str">
            <v>Liquid</v>
          </cell>
        </row>
        <row r="120">
          <cell r="D120">
            <v>5</v>
          </cell>
          <cell r="E120">
            <v>3.4243139999999998E-2</v>
          </cell>
          <cell r="F120" t="str">
            <v>Liquid</v>
          </cell>
        </row>
        <row r="121">
          <cell r="D121">
            <v>5</v>
          </cell>
          <cell r="E121">
            <v>1.8572370000000001E-3</v>
          </cell>
          <cell r="F121" t="str">
            <v>Liquid</v>
          </cell>
        </row>
        <row r="122">
          <cell r="D122">
            <v>5</v>
          </cell>
          <cell r="E122">
            <v>0.1164244</v>
          </cell>
          <cell r="F122" t="str">
            <v>Liquid</v>
          </cell>
        </row>
        <row r="123">
          <cell r="D123">
            <v>5</v>
          </cell>
          <cell r="E123">
            <v>4.8715649999999999E-4</v>
          </cell>
          <cell r="F123" t="str">
            <v>Liquid</v>
          </cell>
        </row>
        <row r="124">
          <cell r="D124">
            <v>5</v>
          </cell>
          <cell r="E124">
            <v>8.2303300000000003E-4</v>
          </cell>
          <cell r="F124" t="str">
            <v>Liquid</v>
          </cell>
        </row>
        <row r="125">
          <cell r="D125">
            <v>5</v>
          </cell>
          <cell r="E125">
            <v>2.5787750000000002E-3</v>
          </cell>
          <cell r="F125" t="str">
            <v>Liquid</v>
          </cell>
        </row>
        <row r="126">
          <cell r="D126">
            <v>5</v>
          </cell>
          <cell r="E126">
            <v>7.9077529999999993E-2</v>
          </cell>
          <cell r="F126" t="str">
            <v>Liquid</v>
          </cell>
        </row>
        <row r="127">
          <cell r="D127">
            <v>5</v>
          </cell>
          <cell r="E127">
            <v>6.740327E-4</v>
          </cell>
          <cell r="F127" t="str">
            <v>Liquid</v>
          </cell>
        </row>
        <row r="128">
          <cell r="D128">
            <v>5</v>
          </cell>
          <cell r="E128">
            <v>1.666231E-4</v>
          </cell>
          <cell r="F128" t="str">
            <v>Liquid</v>
          </cell>
        </row>
        <row r="129">
          <cell r="D129">
            <v>5</v>
          </cell>
          <cell r="E129">
            <v>1.091991E-2</v>
          </cell>
          <cell r="F129" t="str">
            <v>Liquid</v>
          </cell>
        </row>
        <row r="130">
          <cell r="D130">
            <v>5</v>
          </cell>
          <cell r="E130">
            <v>3.4599980000000002E-2</v>
          </cell>
          <cell r="F130" t="str">
            <v>Liquid</v>
          </cell>
        </row>
        <row r="131">
          <cell r="D131">
            <v>5</v>
          </cell>
          <cell r="E131">
            <v>2.6823720000000001E-4</v>
          </cell>
          <cell r="F131" t="str">
            <v>Liquid</v>
          </cell>
        </row>
        <row r="132">
          <cell r="D132">
            <v>5</v>
          </cell>
          <cell r="E132">
            <v>3.602741E-3</v>
          </cell>
          <cell r="F132" t="str">
            <v>Liquid</v>
          </cell>
        </row>
        <row r="133">
          <cell r="D133">
            <v>5</v>
          </cell>
          <cell r="E133">
            <v>1.3797780000000001E-2</v>
          </cell>
          <cell r="F133" t="str">
            <v>Liquid</v>
          </cell>
        </row>
        <row r="134">
          <cell r="D134">
            <v>5</v>
          </cell>
          <cell r="E134">
            <v>1.123263E-2</v>
          </cell>
          <cell r="F134" t="str">
            <v>Liquid</v>
          </cell>
        </row>
        <row r="135">
          <cell r="D135">
            <v>5</v>
          </cell>
          <cell r="E135">
            <v>0.17861540000000001</v>
          </cell>
          <cell r="F135" t="str">
            <v>Liquid</v>
          </cell>
        </row>
        <row r="136">
          <cell r="D136">
            <v>5</v>
          </cell>
          <cell r="E136">
            <v>0.1080648</v>
          </cell>
          <cell r="F136" t="str">
            <v>Liquid</v>
          </cell>
        </row>
        <row r="137">
          <cell r="D137">
            <v>5</v>
          </cell>
          <cell r="E137">
            <v>1.6950860000000002E-2</v>
          </cell>
          <cell r="F137" t="str">
            <v>Liquid</v>
          </cell>
        </row>
        <row r="138">
          <cell r="D138">
            <v>5</v>
          </cell>
          <cell r="E138">
            <v>7.7413070000000002E-3</v>
          </cell>
          <cell r="F138" t="str">
            <v>Liquid</v>
          </cell>
        </row>
        <row r="139">
          <cell r="D139">
            <v>5</v>
          </cell>
          <cell r="E139">
            <v>9.0832919999999998E-3</v>
          </cell>
          <cell r="F139" t="str">
            <v>Liquid</v>
          </cell>
        </row>
        <row r="140">
          <cell r="D140">
            <v>5</v>
          </cell>
          <cell r="E140">
            <v>7.1755949999999999E-3</v>
          </cell>
          <cell r="F140" t="str">
            <v>Liquid</v>
          </cell>
        </row>
        <row r="141">
          <cell r="D141">
            <v>6</v>
          </cell>
          <cell r="E141">
            <v>1.1413090000000001E-3</v>
          </cell>
          <cell r="F141" t="str">
            <v>Liquid</v>
          </cell>
        </row>
        <row r="142">
          <cell r="D142">
            <v>6</v>
          </cell>
          <cell r="E142">
            <v>5.0154180000000004E-4</v>
          </cell>
          <cell r="F142" t="str">
            <v>Liquid</v>
          </cell>
        </row>
        <row r="143">
          <cell r="D143">
            <v>6</v>
          </cell>
          <cell r="E143">
            <v>3.1061919999999998E-3</v>
          </cell>
          <cell r="F143" t="str">
            <v>Liquid</v>
          </cell>
        </row>
        <row r="144">
          <cell r="D144">
            <v>6</v>
          </cell>
          <cell r="E144">
            <v>2.004175E-3</v>
          </cell>
          <cell r="F144" t="str">
            <v>Liquid</v>
          </cell>
        </row>
        <row r="145">
          <cell r="D145">
            <v>6</v>
          </cell>
          <cell r="E145">
            <v>3.3451679999999999E-3</v>
          </cell>
          <cell r="F145" t="str">
            <v>Liquid</v>
          </cell>
        </row>
        <row r="146">
          <cell r="D146">
            <v>6</v>
          </cell>
          <cell r="E146">
            <v>9.8434419999999991E-4</v>
          </cell>
          <cell r="F146" t="str">
            <v>Liquid</v>
          </cell>
        </row>
        <row r="147">
          <cell r="D147">
            <v>6</v>
          </cell>
          <cell r="E147">
            <v>3.2993430000000002E-3</v>
          </cell>
          <cell r="F147" t="str">
            <v>Liquid</v>
          </cell>
        </row>
        <row r="148">
          <cell r="D148">
            <v>6</v>
          </cell>
          <cell r="E148">
            <v>1.151889E-2</v>
          </cell>
          <cell r="F148" t="str">
            <v>Liquid</v>
          </cell>
        </row>
        <row r="149">
          <cell r="D149">
            <v>6</v>
          </cell>
          <cell r="E149">
            <v>1.0493670000000001E-3</v>
          </cell>
          <cell r="F149" t="str">
            <v>Liquid</v>
          </cell>
        </row>
        <row r="150">
          <cell r="D150">
            <v>6</v>
          </cell>
          <cell r="E150">
            <v>1.616691E-3</v>
          </cell>
          <cell r="F150" t="str">
            <v>Liquid</v>
          </cell>
        </row>
        <row r="151">
          <cell r="D151">
            <v>6</v>
          </cell>
          <cell r="E151">
            <v>1.713574E-3</v>
          </cell>
          <cell r="F151" t="str">
            <v>Liquid</v>
          </cell>
        </row>
        <row r="152">
          <cell r="D152">
            <v>6</v>
          </cell>
          <cell r="E152">
            <v>5.6263139999999999E-4</v>
          </cell>
          <cell r="F152" t="str">
            <v>Liquid</v>
          </cell>
        </row>
        <row r="153">
          <cell r="D153">
            <v>6</v>
          </cell>
          <cell r="E153">
            <v>3.0034339999999998E-4</v>
          </cell>
          <cell r="F153" t="str">
            <v>Liquid</v>
          </cell>
        </row>
        <row r="154">
          <cell r="D154">
            <v>6</v>
          </cell>
          <cell r="E154">
            <v>1.840162E-3</v>
          </cell>
          <cell r="F154" t="str">
            <v>Liquid</v>
          </cell>
        </row>
        <row r="155">
          <cell r="D155">
            <v>6</v>
          </cell>
          <cell r="E155">
            <v>4.3581100000000001E-3</v>
          </cell>
          <cell r="F155" t="str">
            <v>Liquid</v>
          </cell>
        </row>
        <row r="156">
          <cell r="D156">
            <v>6</v>
          </cell>
          <cell r="E156">
            <v>6.9394080000000002E-3</v>
          </cell>
          <cell r="F156" t="str">
            <v>Liquid</v>
          </cell>
        </row>
        <row r="157">
          <cell r="D157">
            <v>6</v>
          </cell>
          <cell r="E157">
            <v>2.4001080000000001E-2</v>
          </cell>
          <cell r="F157" t="str">
            <v>Liquid</v>
          </cell>
        </row>
        <row r="158">
          <cell r="D158">
            <v>6</v>
          </cell>
          <cell r="E158">
            <v>3.7296009999999999E-3</v>
          </cell>
          <cell r="F158" t="str">
            <v>Liquid</v>
          </cell>
        </row>
        <row r="159">
          <cell r="D159">
            <v>6</v>
          </cell>
          <cell r="E159">
            <v>3.708856E-3</v>
          </cell>
          <cell r="F159" t="str">
            <v>Liquid</v>
          </cell>
        </row>
        <row r="160">
          <cell r="D160">
            <v>6</v>
          </cell>
          <cell r="E160">
            <v>4.4236900000000003E-2</v>
          </cell>
          <cell r="F160" t="str">
            <v>Liquid</v>
          </cell>
        </row>
        <row r="161">
          <cell r="D161">
            <v>6</v>
          </cell>
          <cell r="E161">
            <v>2.5903499999999999E-3</v>
          </cell>
          <cell r="F161" t="str">
            <v>Liquid</v>
          </cell>
        </row>
        <row r="162">
          <cell r="D162">
            <v>6</v>
          </cell>
          <cell r="E162">
            <v>3.398851E-3</v>
          </cell>
          <cell r="F162" t="str">
            <v>Liquid</v>
          </cell>
        </row>
        <row r="163">
          <cell r="D163">
            <v>6</v>
          </cell>
          <cell r="E163">
            <v>5.6578349999999999E-4</v>
          </cell>
          <cell r="F163" t="str">
            <v>Liquid</v>
          </cell>
        </row>
        <row r="164">
          <cell r="D164">
            <v>0</v>
          </cell>
          <cell r="E164">
            <v>0.51966179999999995</v>
          </cell>
          <cell r="F164" t="str">
            <v>Liquid</v>
          </cell>
        </row>
        <row r="165">
          <cell r="D165">
            <v>0</v>
          </cell>
          <cell r="E165">
            <v>1.226322E-6</v>
          </cell>
          <cell r="F165" t="str">
            <v>Liquid</v>
          </cell>
        </row>
        <row r="166">
          <cell r="D166">
            <v>1</v>
          </cell>
          <cell r="E166">
            <v>8.77001E-3</v>
          </cell>
          <cell r="F166" t="str">
            <v>Liquid</v>
          </cell>
        </row>
        <row r="167">
          <cell r="D167">
            <v>1</v>
          </cell>
          <cell r="E167">
            <v>9.9613770000000004E-3</v>
          </cell>
          <cell r="F167" t="str">
            <v>Liquid</v>
          </cell>
        </row>
        <row r="168">
          <cell r="D168">
            <v>1</v>
          </cell>
          <cell r="E168">
            <v>9.3117870000000002E-3</v>
          </cell>
          <cell r="F168" t="str">
            <v>Liquid</v>
          </cell>
        </row>
        <row r="169">
          <cell r="D169">
            <v>1</v>
          </cell>
          <cell r="E169">
            <v>1.226322E-6</v>
          </cell>
          <cell r="F169" t="str">
            <v>Liquid</v>
          </cell>
        </row>
        <row r="170">
          <cell r="D170">
            <v>1</v>
          </cell>
          <cell r="E170">
            <v>5.7426629999999999E-2</v>
          </cell>
          <cell r="F170" t="str">
            <v>Liquid</v>
          </cell>
        </row>
        <row r="171">
          <cell r="D171">
            <v>1</v>
          </cell>
          <cell r="E171">
            <v>7.3636209999999999E-3</v>
          </cell>
          <cell r="F171" t="str">
            <v>Liquid</v>
          </cell>
        </row>
        <row r="172">
          <cell r="D172">
            <v>1</v>
          </cell>
          <cell r="E172">
            <v>4.909081E-3</v>
          </cell>
          <cell r="F172" t="str">
            <v>Liquid</v>
          </cell>
        </row>
        <row r="173">
          <cell r="D173">
            <v>1</v>
          </cell>
          <cell r="E173">
            <v>1.227265E-2</v>
          </cell>
          <cell r="F173" t="str">
            <v>Liquid</v>
          </cell>
        </row>
        <row r="174">
          <cell r="D174">
            <v>1</v>
          </cell>
          <cell r="E174">
            <v>0.10277799999999999</v>
          </cell>
          <cell r="F174" t="str">
            <v>Liquid</v>
          </cell>
        </row>
        <row r="175">
          <cell r="D175">
            <v>1</v>
          </cell>
          <cell r="E175">
            <v>2.452479E-3</v>
          </cell>
          <cell r="F175" t="str">
            <v>Liquid</v>
          </cell>
        </row>
        <row r="176">
          <cell r="D176">
            <v>1</v>
          </cell>
          <cell r="E176">
            <v>4.9049089999999998E-3</v>
          </cell>
          <cell r="F176" t="str">
            <v>Liquid</v>
          </cell>
        </row>
        <row r="177">
          <cell r="D177">
            <v>1</v>
          </cell>
          <cell r="E177">
            <v>9.813581E-3</v>
          </cell>
          <cell r="F177" t="str">
            <v>Liquid</v>
          </cell>
        </row>
        <row r="178">
          <cell r="D178">
            <v>1</v>
          </cell>
          <cell r="E178">
            <v>4.1695549999999998E-2</v>
          </cell>
          <cell r="F178" t="str">
            <v>Liquid</v>
          </cell>
        </row>
        <row r="179">
          <cell r="D179">
            <v>1</v>
          </cell>
          <cell r="E179">
            <v>7.3574390000000003E-3</v>
          </cell>
          <cell r="F179" t="str">
            <v>Liquid</v>
          </cell>
        </row>
        <row r="180">
          <cell r="D180">
            <v>1</v>
          </cell>
          <cell r="E180">
            <v>7.3573859999999996E-3</v>
          </cell>
          <cell r="F180" t="str">
            <v>Liquid</v>
          </cell>
        </row>
        <row r="181">
          <cell r="D181">
            <v>1</v>
          </cell>
          <cell r="E181">
            <v>3.108357E-3</v>
          </cell>
          <cell r="F181" t="str">
            <v>Liquid</v>
          </cell>
        </row>
        <row r="182">
          <cell r="D182">
            <v>1</v>
          </cell>
          <cell r="E182">
            <v>4.9671400000000001E-3</v>
          </cell>
          <cell r="F182" t="str">
            <v>Liquid</v>
          </cell>
        </row>
        <row r="183">
          <cell r="D183">
            <v>1</v>
          </cell>
          <cell r="E183">
            <v>2.4835209999999998E-3</v>
          </cell>
          <cell r="F183" t="str">
            <v>Liquid</v>
          </cell>
        </row>
        <row r="184">
          <cell r="D184">
            <v>2</v>
          </cell>
          <cell r="E184">
            <v>4.817496E-4</v>
          </cell>
          <cell r="F184" t="str">
            <v>Liquid</v>
          </cell>
        </row>
        <row r="185">
          <cell r="D185">
            <v>2</v>
          </cell>
          <cell r="E185">
            <v>3.1084189999999999E-3</v>
          </cell>
          <cell r="F185" t="str">
            <v>Liquid</v>
          </cell>
        </row>
        <row r="186">
          <cell r="D186">
            <v>2</v>
          </cell>
          <cell r="E186">
            <v>8.0796819999999995E-3</v>
          </cell>
          <cell r="F186" t="str">
            <v>Liquid</v>
          </cell>
        </row>
        <row r="187">
          <cell r="D187">
            <v>2</v>
          </cell>
          <cell r="E187">
            <v>3.4026109999999999E-4</v>
          </cell>
          <cell r="F187" t="str">
            <v>Liquid</v>
          </cell>
        </row>
        <row r="188">
          <cell r="D188">
            <v>2</v>
          </cell>
          <cell r="E188">
            <v>1.227255E-2</v>
          </cell>
          <cell r="F188" t="str">
            <v>Liquid</v>
          </cell>
        </row>
        <row r="189">
          <cell r="D189">
            <v>2</v>
          </cell>
          <cell r="E189">
            <v>4.9068139999999998E-3</v>
          </cell>
          <cell r="F189" t="str">
            <v>Liquid</v>
          </cell>
        </row>
        <row r="190">
          <cell r="D190">
            <v>2</v>
          </cell>
          <cell r="E190">
            <v>2.4835690000000001E-3</v>
          </cell>
          <cell r="F190" t="str">
            <v>Liquid</v>
          </cell>
        </row>
        <row r="191">
          <cell r="D191">
            <v>3</v>
          </cell>
          <cell r="E191">
            <v>1.348775E-3</v>
          </cell>
          <cell r="F191" t="str">
            <v>Liquid</v>
          </cell>
        </row>
        <row r="192">
          <cell r="D192">
            <v>3</v>
          </cell>
          <cell r="E192">
            <v>1.249786E-2</v>
          </cell>
          <cell r="F192" t="str">
            <v>Liquid</v>
          </cell>
        </row>
        <row r="193">
          <cell r="D193">
            <v>3</v>
          </cell>
          <cell r="E193">
            <v>1.9460429999999999E-3</v>
          </cell>
          <cell r="F193" t="str">
            <v>Liquid</v>
          </cell>
        </row>
        <row r="194">
          <cell r="D194">
            <v>3</v>
          </cell>
          <cell r="E194">
            <v>3.1084189999999999E-3</v>
          </cell>
          <cell r="F194" t="str">
            <v>Liquid</v>
          </cell>
        </row>
        <row r="195">
          <cell r="D195">
            <v>3</v>
          </cell>
          <cell r="E195">
            <v>1.341475E-2</v>
          </cell>
          <cell r="F195" t="str">
            <v>Liquid</v>
          </cell>
        </row>
        <row r="196">
          <cell r="D196">
            <v>3</v>
          </cell>
          <cell r="E196">
            <v>1.056905E-2</v>
          </cell>
          <cell r="F196" t="str">
            <v>Liquid</v>
          </cell>
        </row>
        <row r="197">
          <cell r="D197">
            <v>3</v>
          </cell>
          <cell r="E197">
            <v>2.1551859999999999E-2</v>
          </cell>
          <cell r="F197" t="str">
            <v>Liquid</v>
          </cell>
        </row>
        <row r="198">
          <cell r="D198">
            <v>3</v>
          </cell>
          <cell r="E198">
            <v>4.9670319999999997E-3</v>
          </cell>
          <cell r="F198" t="str">
            <v>Liquid</v>
          </cell>
        </row>
        <row r="199">
          <cell r="D199">
            <v>3</v>
          </cell>
          <cell r="E199">
            <v>2.4835690000000001E-3</v>
          </cell>
          <cell r="F199" t="str">
            <v>Liquid</v>
          </cell>
        </row>
        <row r="200">
          <cell r="D200">
            <v>4</v>
          </cell>
          <cell r="E200">
            <v>3.124978E-3</v>
          </cell>
          <cell r="F200" t="str">
            <v>Liquid</v>
          </cell>
        </row>
        <row r="201">
          <cell r="D201">
            <v>4</v>
          </cell>
          <cell r="E201">
            <v>6.2494120000000002E-3</v>
          </cell>
          <cell r="F201" t="str">
            <v>Liquid</v>
          </cell>
        </row>
        <row r="202">
          <cell r="D202">
            <v>4</v>
          </cell>
          <cell r="E202">
            <v>6.2167129999999996E-3</v>
          </cell>
          <cell r="F202" t="str">
            <v>Liquid</v>
          </cell>
        </row>
        <row r="203">
          <cell r="D203">
            <v>4</v>
          </cell>
          <cell r="E203">
            <v>6.8817110000000001E-2</v>
          </cell>
          <cell r="F203" t="str">
            <v>Liquid</v>
          </cell>
        </row>
        <row r="204">
          <cell r="D204">
            <v>4</v>
          </cell>
          <cell r="E204">
            <v>4.9133370000000003E-3</v>
          </cell>
          <cell r="F204" t="str">
            <v>Liquid</v>
          </cell>
        </row>
        <row r="205">
          <cell r="D205">
            <v>4</v>
          </cell>
          <cell r="E205">
            <v>1.1238050000000001E-3</v>
          </cell>
          <cell r="F205" t="str">
            <v>Liquid</v>
          </cell>
        </row>
        <row r="206">
          <cell r="D206">
            <v>4</v>
          </cell>
          <cell r="E206">
            <v>2.4835679999999998E-3</v>
          </cell>
          <cell r="F206" t="str">
            <v>Liquid</v>
          </cell>
        </row>
        <row r="207">
          <cell r="D207">
            <v>5</v>
          </cell>
          <cell r="E207">
            <v>6.2499000000000001E-3</v>
          </cell>
          <cell r="F207" t="str">
            <v>Liquid</v>
          </cell>
        </row>
        <row r="208">
          <cell r="D208">
            <v>5</v>
          </cell>
          <cell r="E208">
            <v>1.350083E-2</v>
          </cell>
          <cell r="F208" t="str">
            <v>Liquid</v>
          </cell>
        </row>
        <row r="209">
          <cell r="D209">
            <v>5</v>
          </cell>
          <cell r="E209">
            <v>2.168007E-3</v>
          </cell>
          <cell r="F209" t="str">
            <v>Liquid</v>
          </cell>
        </row>
        <row r="210">
          <cell r="D210">
            <v>5</v>
          </cell>
          <cell r="E210">
            <v>4.66839E-2</v>
          </cell>
          <cell r="F210" t="str">
            <v>Liquid</v>
          </cell>
        </row>
        <row r="211">
          <cell r="D211">
            <v>6</v>
          </cell>
          <cell r="E211">
            <v>2.775998E-3</v>
          </cell>
          <cell r="F211" t="str">
            <v>Liquid</v>
          </cell>
        </row>
        <row r="212">
          <cell r="D212">
            <v>6</v>
          </cell>
          <cell r="E212">
            <v>5.1846640000000003E-3</v>
          </cell>
          <cell r="F212" t="str">
            <v>Liquid</v>
          </cell>
        </row>
        <row r="213">
          <cell r="D213">
            <v>6</v>
          </cell>
          <cell r="E213">
            <v>9.8690930000000007E-3</v>
          </cell>
          <cell r="F213" t="str">
            <v>Liquid</v>
          </cell>
        </row>
        <row r="214">
          <cell r="D214">
            <v>6</v>
          </cell>
          <cell r="E214">
            <v>2.9809789999999999E-3</v>
          </cell>
          <cell r="F214" t="str">
            <v>Liquid</v>
          </cell>
        </row>
        <row r="215">
          <cell r="D215">
            <v>6</v>
          </cell>
          <cell r="E215">
            <v>2.2551769999999999E-2</v>
          </cell>
          <cell r="F215" t="str">
            <v>Liquid</v>
          </cell>
        </row>
        <row r="216">
          <cell r="D216">
            <v>6</v>
          </cell>
          <cell r="E216">
            <v>1.361191E-2</v>
          </cell>
          <cell r="F216" t="str">
            <v>Liquid</v>
          </cell>
        </row>
        <row r="217">
          <cell r="D217">
            <v>6</v>
          </cell>
          <cell r="E217">
            <v>9.4136559999999994E-3</v>
          </cell>
          <cell r="F217" t="str">
            <v>Liquid</v>
          </cell>
        </row>
        <row r="218">
          <cell r="D218">
            <v>6</v>
          </cell>
          <cell r="E218">
            <v>2.4835679999999998E-3</v>
          </cell>
          <cell r="F218" t="str">
            <v>Liquid</v>
          </cell>
        </row>
        <row r="219">
          <cell r="D219">
            <v>0</v>
          </cell>
          <cell r="E219">
            <v>2.7909489999999999E-2</v>
          </cell>
          <cell r="F219" t="str">
            <v>Liquid</v>
          </cell>
        </row>
        <row r="220">
          <cell r="D220">
            <v>0</v>
          </cell>
          <cell r="E220">
            <v>0.93944119999999998</v>
          </cell>
          <cell r="F220" t="str">
            <v>Liquid</v>
          </cell>
        </row>
        <row r="221">
          <cell r="D221">
            <v>0</v>
          </cell>
          <cell r="E221">
            <v>3.4545079999999999E-2</v>
          </cell>
          <cell r="F221" t="str">
            <v>Liquid</v>
          </cell>
        </row>
        <row r="222">
          <cell r="D222">
            <v>0</v>
          </cell>
          <cell r="E222">
            <v>2.8372320000000001E-4</v>
          </cell>
          <cell r="F222" t="str">
            <v>Liquid</v>
          </cell>
        </row>
        <row r="223">
          <cell r="D223">
            <v>0</v>
          </cell>
          <cell r="E223">
            <v>2.1494700000000001E-3</v>
          </cell>
          <cell r="F223" t="str">
            <v>Liquid</v>
          </cell>
        </row>
        <row r="224">
          <cell r="D224">
            <v>0</v>
          </cell>
          <cell r="E224">
            <v>0.92173519999999998</v>
          </cell>
          <cell r="F224" t="str">
            <v>Liquid</v>
          </cell>
        </row>
        <row r="225">
          <cell r="D225">
            <v>1</v>
          </cell>
          <cell r="E225">
            <v>5.0220509999999996E-4</v>
          </cell>
          <cell r="F225" t="str">
            <v>Liquid</v>
          </cell>
        </row>
        <row r="226">
          <cell r="D226">
            <v>1</v>
          </cell>
          <cell r="E226">
            <v>4.3570570000000001E-3</v>
          </cell>
          <cell r="F226" t="str">
            <v>Liquid</v>
          </cell>
        </row>
        <row r="227">
          <cell r="D227">
            <v>1</v>
          </cell>
          <cell r="E227">
            <v>5.6321740000000002E-3</v>
          </cell>
          <cell r="F227" t="str">
            <v>Liquid</v>
          </cell>
        </row>
        <row r="228">
          <cell r="D228">
            <v>1</v>
          </cell>
          <cell r="E228">
            <v>3.6165349999999999E-2</v>
          </cell>
          <cell r="F228" t="str">
            <v>Liquid</v>
          </cell>
        </row>
        <row r="229">
          <cell r="D229">
            <v>1</v>
          </cell>
          <cell r="E229">
            <v>7.6957290000000003E-4</v>
          </cell>
          <cell r="F229" t="str">
            <v>Liquid</v>
          </cell>
        </row>
        <row r="230">
          <cell r="D230">
            <v>1</v>
          </cell>
          <cell r="E230">
            <v>2.385837E-3</v>
          </cell>
          <cell r="F230" t="str">
            <v>Liquid</v>
          </cell>
        </row>
        <row r="231">
          <cell r="D231">
            <v>1</v>
          </cell>
          <cell r="E231">
            <v>7.9417470000000005E-4</v>
          </cell>
          <cell r="F231" t="str">
            <v>Liquid</v>
          </cell>
        </row>
        <row r="232">
          <cell r="D232">
            <v>1</v>
          </cell>
          <cell r="E232">
            <v>2.4093529999999999E-3</v>
          </cell>
          <cell r="F232" t="str">
            <v>Liquid</v>
          </cell>
        </row>
        <row r="233">
          <cell r="D233">
            <v>1</v>
          </cell>
          <cell r="E233">
            <v>4.0754679999999996E-3</v>
          </cell>
          <cell r="F233" t="str">
            <v>Liquid</v>
          </cell>
        </row>
        <row r="234">
          <cell r="D234">
            <v>1</v>
          </cell>
          <cell r="E234">
            <v>2.905845E-2</v>
          </cell>
          <cell r="F234" t="str">
            <v>Liquid</v>
          </cell>
        </row>
        <row r="235">
          <cell r="D235">
            <v>1</v>
          </cell>
          <cell r="E235">
            <v>3.2138449999999999E-3</v>
          </cell>
          <cell r="F235" t="str">
            <v>Liquid</v>
          </cell>
        </row>
        <row r="236">
          <cell r="D236">
            <v>1</v>
          </cell>
          <cell r="E236">
            <v>2.7369819999999998E-3</v>
          </cell>
          <cell r="F236" t="str">
            <v>Liquid</v>
          </cell>
        </row>
        <row r="237">
          <cell r="D237">
            <v>1</v>
          </cell>
          <cell r="E237">
            <v>3.2137659999999998E-3</v>
          </cell>
          <cell r="F237" t="str">
            <v>Liquid</v>
          </cell>
        </row>
        <row r="238">
          <cell r="D238">
            <v>1</v>
          </cell>
          <cell r="E238">
            <v>2.7582359999999998E-3</v>
          </cell>
          <cell r="F238" t="str">
            <v>Liquid</v>
          </cell>
        </row>
        <row r="239">
          <cell r="D239">
            <v>1</v>
          </cell>
          <cell r="E239">
            <v>1.1481519999999999E-3</v>
          </cell>
          <cell r="F239" t="str">
            <v>Liquid</v>
          </cell>
        </row>
        <row r="240">
          <cell r="D240">
            <v>1</v>
          </cell>
          <cell r="E240">
            <v>2.7467640000000001E-3</v>
          </cell>
          <cell r="F240" t="str">
            <v>Liquid</v>
          </cell>
        </row>
        <row r="241">
          <cell r="D241">
            <v>1</v>
          </cell>
          <cell r="E241">
            <v>1.1366810000000001E-3</v>
          </cell>
          <cell r="F241" t="str">
            <v>Liquid</v>
          </cell>
        </row>
        <row r="242">
          <cell r="D242">
            <v>1</v>
          </cell>
          <cell r="E242">
            <v>1.12521E-3</v>
          </cell>
          <cell r="F242" t="str">
            <v>Liquid</v>
          </cell>
        </row>
        <row r="243">
          <cell r="D243">
            <v>1</v>
          </cell>
          <cell r="E243">
            <v>1.3220770000000001E-3</v>
          </cell>
          <cell r="F243" t="str">
            <v>Liquid</v>
          </cell>
        </row>
        <row r="244">
          <cell r="D244">
            <v>1</v>
          </cell>
          <cell r="E244">
            <v>5.7794460000000001E-5</v>
          </cell>
          <cell r="F244" t="str">
            <v>Liquid</v>
          </cell>
        </row>
        <row r="245">
          <cell r="D245">
            <v>1</v>
          </cell>
          <cell r="E245">
            <v>2.9024950000000002E-3</v>
          </cell>
          <cell r="F245" t="str">
            <v>Liquid</v>
          </cell>
        </row>
        <row r="246">
          <cell r="D246">
            <v>1</v>
          </cell>
          <cell r="E246">
            <v>2.1004779999999998E-3</v>
          </cell>
          <cell r="F246" t="str">
            <v>Liquid</v>
          </cell>
        </row>
        <row r="247">
          <cell r="D247">
            <v>1</v>
          </cell>
          <cell r="E247">
            <v>3.1184799999999999E-3</v>
          </cell>
          <cell r="F247" t="str">
            <v>Liquid</v>
          </cell>
        </row>
        <row r="248">
          <cell r="D248">
            <v>1</v>
          </cell>
          <cell r="E248">
            <v>7.6525059999999997E-4</v>
          </cell>
          <cell r="F248" t="str">
            <v>Liquid</v>
          </cell>
        </row>
        <row r="249">
          <cell r="D249">
            <v>1</v>
          </cell>
          <cell r="E249">
            <v>7.2884399999999998E-4</v>
          </cell>
          <cell r="F249" t="str">
            <v>Liquid</v>
          </cell>
        </row>
        <row r="250">
          <cell r="D250">
            <v>1</v>
          </cell>
          <cell r="E250">
            <v>2.2591089999999999E-4</v>
          </cell>
          <cell r="F250" t="str">
            <v>Liquid</v>
          </cell>
        </row>
        <row r="251">
          <cell r="D251">
            <v>1</v>
          </cell>
          <cell r="E251">
            <v>2.3555579999999998E-3</v>
          </cell>
          <cell r="F251" t="str">
            <v>Liquid</v>
          </cell>
        </row>
        <row r="252">
          <cell r="D252">
            <v>1</v>
          </cell>
          <cell r="E252">
            <v>2.478442E-3</v>
          </cell>
          <cell r="F252" t="str">
            <v>Liquid</v>
          </cell>
        </row>
        <row r="253">
          <cell r="D253">
            <v>1</v>
          </cell>
          <cell r="E253">
            <v>2.452414E-3</v>
          </cell>
          <cell r="F253" t="str">
            <v>Liquid</v>
          </cell>
        </row>
        <row r="254">
          <cell r="D254">
            <v>1</v>
          </cell>
          <cell r="E254">
            <v>4.9032030000000001E-3</v>
          </cell>
          <cell r="F254" t="str">
            <v>Liquid</v>
          </cell>
        </row>
        <row r="255">
          <cell r="D255">
            <v>1</v>
          </cell>
          <cell r="E255">
            <v>1.968835E-2</v>
          </cell>
          <cell r="F255" t="str">
            <v>Liquid</v>
          </cell>
        </row>
        <row r="256">
          <cell r="D256">
            <v>1</v>
          </cell>
          <cell r="E256">
            <v>2.4555459999999999E-3</v>
          </cell>
          <cell r="F256" t="str">
            <v>Liquid</v>
          </cell>
        </row>
        <row r="257">
          <cell r="D257">
            <v>1</v>
          </cell>
          <cell r="E257">
            <v>2.4570830000000001E-3</v>
          </cell>
          <cell r="F257" t="str">
            <v>Liquid</v>
          </cell>
        </row>
        <row r="258">
          <cell r="D258">
            <v>1</v>
          </cell>
          <cell r="E258">
            <v>5.1615439999999997E-3</v>
          </cell>
          <cell r="F258" t="str">
            <v>Liquid</v>
          </cell>
        </row>
        <row r="259">
          <cell r="D259">
            <v>1</v>
          </cell>
          <cell r="E259">
            <v>3.5783669999999998E-3</v>
          </cell>
          <cell r="F259" t="str">
            <v>Liquid</v>
          </cell>
        </row>
        <row r="260">
          <cell r="D260">
            <v>1</v>
          </cell>
          <cell r="E260">
            <v>5.9073779999999999E-2</v>
          </cell>
          <cell r="F260" t="str">
            <v>Liquid</v>
          </cell>
        </row>
        <row r="261">
          <cell r="D261">
            <v>1</v>
          </cell>
          <cell r="E261">
            <v>0.40770679999999998</v>
          </cell>
          <cell r="F261" t="str">
            <v>Liquid</v>
          </cell>
        </row>
        <row r="262">
          <cell r="D262">
            <v>1</v>
          </cell>
          <cell r="E262">
            <v>2.603742E-3</v>
          </cell>
          <cell r="F262" t="str">
            <v>Liquid</v>
          </cell>
        </row>
        <row r="263">
          <cell r="D263">
            <v>1</v>
          </cell>
          <cell r="E263">
            <v>2.6037629999999998E-3</v>
          </cell>
          <cell r="F263" t="str">
            <v>Liquid</v>
          </cell>
        </row>
        <row r="264">
          <cell r="D264">
            <v>1</v>
          </cell>
          <cell r="E264">
            <v>8.1588560000000004E-2</v>
          </cell>
          <cell r="F264" t="str">
            <v>Liquid</v>
          </cell>
        </row>
        <row r="265">
          <cell r="D265">
            <v>1</v>
          </cell>
          <cell r="E265">
            <v>0.39296300000000001</v>
          </cell>
          <cell r="F265" t="str">
            <v>Liquid</v>
          </cell>
        </row>
        <row r="266">
          <cell r="D266">
            <v>1</v>
          </cell>
          <cell r="E266">
            <v>2.6037450000000002E-3</v>
          </cell>
          <cell r="F266" t="str">
            <v>Liquid</v>
          </cell>
        </row>
        <row r="267">
          <cell r="D267">
            <v>1</v>
          </cell>
          <cell r="E267">
            <v>9.9429619999999996E-2</v>
          </cell>
          <cell r="F267" t="str">
            <v>Liquid</v>
          </cell>
        </row>
        <row r="268">
          <cell r="D268">
            <v>1</v>
          </cell>
          <cell r="E268">
            <v>2.649224E-2</v>
          </cell>
          <cell r="F268" t="str">
            <v>Liquid</v>
          </cell>
        </row>
        <row r="269">
          <cell r="D269">
            <v>1</v>
          </cell>
          <cell r="E269">
            <v>2.6037780000000002E-3</v>
          </cell>
          <cell r="F269" t="str">
            <v>Liquid</v>
          </cell>
        </row>
        <row r="270">
          <cell r="D270">
            <v>1</v>
          </cell>
          <cell r="E270">
            <v>4.5371000000000002E-4</v>
          </cell>
          <cell r="F270" t="str">
            <v>Liquid</v>
          </cell>
        </row>
        <row r="271">
          <cell r="D271">
            <v>1</v>
          </cell>
          <cell r="E271">
            <v>1.3018800000000001E-2</v>
          </cell>
          <cell r="F271" t="str">
            <v>Liquid</v>
          </cell>
        </row>
        <row r="272">
          <cell r="D272">
            <v>1</v>
          </cell>
          <cell r="E272">
            <v>1.3096399999999999E-2</v>
          </cell>
          <cell r="F272" t="str">
            <v>Liquid</v>
          </cell>
        </row>
        <row r="273">
          <cell r="D273">
            <v>1</v>
          </cell>
          <cell r="E273">
            <v>1.56226E-2</v>
          </cell>
          <cell r="F273" t="str">
            <v>Liquid</v>
          </cell>
        </row>
        <row r="274">
          <cell r="D274">
            <v>1</v>
          </cell>
          <cell r="E274">
            <v>2.6037E-3</v>
          </cell>
          <cell r="F274" t="str">
            <v>Liquid</v>
          </cell>
        </row>
        <row r="275">
          <cell r="D275">
            <v>1</v>
          </cell>
          <cell r="E275">
            <v>3.7773099999999999E-3</v>
          </cell>
          <cell r="F275" t="str">
            <v>Liquid</v>
          </cell>
        </row>
        <row r="276">
          <cell r="D276">
            <v>1</v>
          </cell>
          <cell r="E276">
            <v>2.6036929999999998E-3</v>
          </cell>
          <cell r="F276" t="str">
            <v>Liquid</v>
          </cell>
        </row>
        <row r="277">
          <cell r="D277">
            <v>1</v>
          </cell>
          <cell r="E277">
            <v>1.0438470000000001E-3</v>
          </cell>
          <cell r="F277" t="str">
            <v>Liquid</v>
          </cell>
        </row>
        <row r="278">
          <cell r="D278">
            <v>1</v>
          </cell>
          <cell r="E278">
            <v>2.439859E-3</v>
          </cell>
          <cell r="F278" t="str">
            <v>Liquid</v>
          </cell>
        </row>
        <row r="279">
          <cell r="D279">
            <v>1</v>
          </cell>
          <cell r="E279">
            <v>2.6037230000000001E-3</v>
          </cell>
          <cell r="F279" t="str">
            <v>Liquid</v>
          </cell>
        </row>
        <row r="280">
          <cell r="D280">
            <v>1</v>
          </cell>
          <cell r="E280">
            <v>1.371508E-3</v>
          </cell>
          <cell r="F280" t="str">
            <v>Liquid</v>
          </cell>
        </row>
        <row r="281">
          <cell r="D281">
            <v>1</v>
          </cell>
          <cell r="E281">
            <v>1.843873E-2</v>
          </cell>
          <cell r="F281" t="str">
            <v>Liquid</v>
          </cell>
        </row>
        <row r="282">
          <cell r="D282">
            <v>1</v>
          </cell>
          <cell r="E282">
            <v>3.8977770000000002E-2</v>
          </cell>
          <cell r="F282" t="str">
            <v>Liquid</v>
          </cell>
        </row>
        <row r="283">
          <cell r="D283">
            <v>2</v>
          </cell>
          <cell r="E283">
            <v>1.8386310000000001E-3</v>
          </cell>
          <cell r="F283" t="str">
            <v>Liquid</v>
          </cell>
        </row>
        <row r="284">
          <cell r="D284">
            <v>2</v>
          </cell>
          <cell r="E284">
            <v>3.6572559999999997E-2</v>
          </cell>
          <cell r="F284" t="str">
            <v>Liquid</v>
          </cell>
        </row>
        <row r="285">
          <cell r="D285">
            <v>2</v>
          </cell>
          <cell r="E285">
            <v>8.8866680000000003E-3</v>
          </cell>
          <cell r="F285" t="str">
            <v>Liquid</v>
          </cell>
        </row>
        <row r="286">
          <cell r="D286">
            <v>2</v>
          </cell>
          <cell r="E286">
            <v>8.7283570000000008E-3</v>
          </cell>
          <cell r="F286" t="str">
            <v>Liquid</v>
          </cell>
        </row>
        <row r="287">
          <cell r="D287">
            <v>2</v>
          </cell>
          <cell r="E287">
            <v>2.0717449999999998E-3</v>
          </cell>
          <cell r="F287" t="str">
            <v>Liquid</v>
          </cell>
        </row>
        <row r="288">
          <cell r="D288">
            <v>2</v>
          </cell>
          <cell r="E288">
            <v>8.5002169999999991E-3</v>
          </cell>
          <cell r="F288" t="str">
            <v>Liquid</v>
          </cell>
        </row>
        <row r="289">
          <cell r="D289">
            <v>2</v>
          </cell>
          <cell r="E289">
            <v>8.4060079999999995E-3</v>
          </cell>
          <cell r="F289" t="str">
            <v>Liquid</v>
          </cell>
        </row>
        <row r="290">
          <cell r="D290">
            <v>2</v>
          </cell>
          <cell r="E290">
            <v>1.291226E-2</v>
          </cell>
          <cell r="F290" t="str">
            <v>Liquid</v>
          </cell>
        </row>
        <row r="291">
          <cell r="D291">
            <v>2</v>
          </cell>
          <cell r="E291">
            <v>3.2716849999999999E-3</v>
          </cell>
          <cell r="F291" t="str">
            <v>Liquid</v>
          </cell>
        </row>
        <row r="292">
          <cell r="D292">
            <v>2</v>
          </cell>
          <cell r="E292">
            <v>1.641296E-3</v>
          </cell>
          <cell r="F292" t="str">
            <v>Liquid</v>
          </cell>
        </row>
        <row r="293">
          <cell r="D293">
            <v>2</v>
          </cell>
          <cell r="E293">
            <v>1.3101530000000001E-3</v>
          </cell>
          <cell r="F293" t="str">
            <v>Liquid</v>
          </cell>
        </row>
        <row r="294">
          <cell r="D294">
            <v>2</v>
          </cell>
          <cell r="E294">
            <v>2.5154769999999999E-3</v>
          </cell>
          <cell r="F294" t="str">
            <v>Liquid</v>
          </cell>
        </row>
        <row r="295">
          <cell r="D295">
            <v>2</v>
          </cell>
          <cell r="E295">
            <v>7.6037870000000005E-4</v>
          </cell>
          <cell r="F295" t="str">
            <v>Liquid</v>
          </cell>
        </row>
        <row r="296">
          <cell r="D296">
            <v>2</v>
          </cell>
          <cell r="E296">
            <v>2.478395E-3</v>
          </cell>
          <cell r="F296" t="str">
            <v>Liquid</v>
          </cell>
        </row>
        <row r="297">
          <cell r="D297">
            <v>2</v>
          </cell>
          <cell r="E297">
            <v>9.8098290000000008E-3</v>
          </cell>
          <cell r="F297" t="str">
            <v>Liquid</v>
          </cell>
        </row>
        <row r="298">
          <cell r="D298">
            <v>2</v>
          </cell>
          <cell r="E298">
            <v>7.3572400000000001E-3</v>
          </cell>
          <cell r="F298" t="str">
            <v>Liquid</v>
          </cell>
        </row>
        <row r="299">
          <cell r="D299">
            <v>2</v>
          </cell>
          <cell r="E299">
            <v>2.209378E-2</v>
          </cell>
          <cell r="F299" t="str">
            <v>Liquid</v>
          </cell>
        </row>
        <row r="300">
          <cell r="D300">
            <v>2</v>
          </cell>
          <cell r="E300">
            <v>7.435278E-3</v>
          </cell>
          <cell r="F300" t="str">
            <v>Liquid</v>
          </cell>
        </row>
        <row r="301">
          <cell r="D301">
            <v>2</v>
          </cell>
          <cell r="E301">
            <v>2.4571319999999999E-3</v>
          </cell>
          <cell r="F301" t="str">
            <v>Liquid</v>
          </cell>
        </row>
        <row r="302">
          <cell r="D302">
            <v>2</v>
          </cell>
          <cell r="E302">
            <v>2.6007169999999998E-3</v>
          </cell>
          <cell r="F302" t="str">
            <v>Liquid</v>
          </cell>
        </row>
        <row r="303">
          <cell r="D303">
            <v>2</v>
          </cell>
          <cell r="E303">
            <v>4.5873850000000002E-3</v>
          </cell>
          <cell r="F303" t="str">
            <v>Liquid</v>
          </cell>
        </row>
        <row r="304">
          <cell r="D304">
            <v>2</v>
          </cell>
          <cell r="E304">
            <v>2.5807629999999998E-3</v>
          </cell>
          <cell r="F304" t="str">
            <v>Liquid</v>
          </cell>
        </row>
        <row r="305">
          <cell r="D305">
            <v>2</v>
          </cell>
          <cell r="E305">
            <v>1.058912E-3</v>
          </cell>
          <cell r="F305" t="str">
            <v>Liquid</v>
          </cell>
        </row>
        <row r="306">
          <cell r="D306">
            <v>2</v>
          </cell>
          <cell r="E306">
            <v>2.5807809999999999E-3</v>
          </cell>
          <cell r="F306" t="str">
            <v>Liquid</v>
          </cell>
        </row>
        <row r="307">
          <cell r="D307">
            <v>2</v>
          </cell>
          <cell r="E307">
            <v>5.2787349999999997E-2</v>
          </cell>
          <cell r="F307" t="str">
            <v>Liquid</v>
          </cell>
        </row>
        <row r="308">
          <cell r="D308">
            <v>2</v>
          </cell>
          <cell r="E308">
            <v>1.7298680000000001E-3</v>
          </cell>
          <cell r="F308" t="str">
            <v>Liquid</v>
          </cell>
        </row>
        <row r="309">
          <cell r="D309">
            <v>2</v>
          </cell>
          <cell r="E309">
            <v>1.0071800000000001E-3</v>
          </cell>
          <cell r="F309" t="str">
            <v>Liquid</v>
          </cell>
        </row>
        <row r="310">
          <cell r="D310">
            <v>2</v>
          </cell>
          <cell r="E310">
            <v>2.6131100000000001E-3</v>
          </cell>
          <cell r="F310" t="str">
            <v>Liquid</v>
          </cell>
        </row>
        <row r="311">
          <cell r="D311">
            <v>2</v>
          </cell>
          <cell r="E311">
            <v>0.22683780000000001</v>
          </cell>
          <cell r="F311" t="str">
            <v>Liquid</v>
          </cell>
        </row>
        <row r="312">
          <cell r="D312">
            <v>2</v>
          </cell>
          <cell r="E312">
            <v>2.5979419999999998E-3</v>
          </cell>
          <cell r="F312" t="str">
            <v>Liquid</v>
          </cell>
        </row>
        <row r="313">
          <cell r="D313">
            <v>2</v>
          </cell>
          <cell r="E313">
            <v>4.5764730000000002E-3</v>
          </cell>
          <cell r="F313" t="str">
            <v>Liquid</v>
          </cell>
        </row>
        <row r="314">
          <cell r="D314">
            <v>2</v>
          </cell>
          <cell r="E314">
            <v>5.1958320000000001E-3</v>
          </cell>
          <cell r="F314" t="str">
            <v>Liquid</v>
          </cell>
        </row>
        <row r="315">
          <cell r="D315">
            <v>2</v>
          </cell>
          <cell r="E315">
            <v>2.6037880000000001E-3</v>
          </cell>
          <cell r="F315" t="str">
            <v>Liquid</v>
          </cell>
        </row>
        <row r="316">
          <cell r="D316">
            <v>2</v>
          </cell>
          <cell r="E316">
            <v>6.2503899999999998E-3</v>
          </cell>
          <cell r="F316" t="str">
            <v>Liquid</v>
          </cell>
        </row>
        <row r="317">
          <cell r="D317">
            <v>2</v>
          </cell>
          <cell r="E317">
            <v>2.6038089999999999E-3</v>
          </cell>
          <cell r="F317" t="str">
            <v>Liquid</v>
          </cell>
        </row>
        <row r="318">
          <cell r="D318">
            <v>2</v>
          </cell>
          <cell r="E318">
            <v>2.6036089999999998E-3</v>
          </cell>
          <cell r="F318" t="str">
            <v>Liquid</v>
          </cell>
        </row>
        <row r="319">
          <cell r="D319">
            <v>2</v>
          </cell>
          <cell r="E319">
            <v>2.6036499999999999E-3</v>
          </cell>
          <cell r="F319" t="str">
            <v>Liquid</v>
          </cell>
        </row>
        <row r="320">
          <cell r="D320">
            <v>2</v>
          </cell>
          <cell r="E320">
            <v>2.6036470000000002E-3</v>
          </cell>
          <cell r="F320" t="str">
            <v>Liquid</v>
          </cell>
        </row>
        <row r="321">
          <cell r="D321">
            <v>2</v>
          </cell>
          <cell r="E321">
            <v>8.0610320000000003E-4</v>
          </cell>
          <cell r="F321" t="str">
            <v>Liquid</v>
          </cell>
        </row>
        <row r="322">
          <cell r="D322">
            <v>2</v>
          </cell>
          <cell r="E322">
            <v>8.7053190000000003E-2</v>
          </cell>
          <cell r="F322" t="str">
            <v>Liquid</v>
          </cell>
        </row>
        <row r="323">
          <cell r="D323">
            <v>3</v>
          </cell>
          <cell r="E323">
            <v>4.3245760000000001E-3</v>
          </cell>
          <cell r="F323" t="str">
            <v>Liquid</v>
          </cell>
        </row>
        <row r="324">
          <cell r="D324">
            <v>3</v>
          </cell>
          <cell r="E324">
            <v>1.3512870000000001E-3</v>
          </cell>
          <cell r="F324" t="str">
            <v>Liquid</v>
          </cell>
        </row>
        <row r="325">
          <cell r="D325">
            <v>3</v>
          </cell>
          <cell r="E325">
            <v>3.3892859999999997E-2</v>
          </cell>
          <cell r="F325" t="str">
            <v>Liquid</v>
          </cell>
        </row>
        <row r="326">
          <cell r="D326">
            <v>3</v>
          </cell>
          <cell r="E326">
            <v>1.5924170000000001E-3</v>
          </cell>
          <cell r="F326" t="str">
            <v>Liquid</v>
          </cell>
        </row>
        <row r="327">
          <cell r="D327">
            <v>3</v>
          </cell>
          <cell r="E327">
            <v>1.7609570000000001E-3</v>
          </cell>
          <cell r="F327" t="str">
            <v>Liquid</v>
          </cell>
        </row>
        <row r="328">
          <cell r="D328">
            <v>3</v>
          </cell>
          <cell r="E328">
            <v>4.6773129999999998E-3</v>
          </cell>
          <cell r="F328" t="str">
            <v>Liquid</v>
          </cell>
        </row>
        <row r="329">
          <cell r="D329">
            <v>3</v>
          </cell>
          <cell r="E329">
            <v>2.478442E-3</v>
          </cell>
          <cell r="F329" t="str">
            <v>Liquid</v>
          </cell>
        </row>
        <row r="330">
          <cell r="D330">
            <v>3</v>
          </cell>
          <cell r="E330">
            <v>7.3599210000000002E-3</v>
          </cell>
          <cell r="F330" t="str">
            <v>Liquid</v>
          </cell>
        </row>
        <row r="331">
          <cell r="D331">
            <v>3</v>
          </cell>
          <cell r="E331">
            <v>2.110559E-2</v>
          </cell>
          <cell r="F331" t="str">
            <v>Liquid</v>
          </cell>
        </row>
        <row r="332">
          <cell r="D332">
            <v>3</v>
          </cell>
          <cell r="E332">
            <v>2.4555459999999999E-3</v>
          </cell>
          <cell r="F332" t="str">
            <v>Liquid</v>
          </cell>
        </row>
        <row r="333">
          <cell r="D333">
            <v>3</v>
          </cell>
          <cell r="E333">
            <v>4.9110439999999998E-3</v>
          </cell>
          <cell r="F333" t="str">
            <v>Liquid</v>
          </cell>
        </row>
        <row r="334">
          <cell r="D334">
            <v>3</v>
          </cell>
          <cell r="E334">
            <v>2.6426109999999999E-2</v>
          </cell>
          <cell r="F334" t="str">
            <v>Liquid</v>
          </cell>
        </row>
        <row r="335">
          <cell r="D335">
            <v>3</v>
          </cell>
          <cell r="E335">
            <v>2.6006710000000001E-3</v>
          </cell>
          <cell r="F335" t="str">
            <v>Liquid</v>
          </cell>
        </row>
        <row r="336">
          <cell r="D336">
            <v>3</v>
          </cell>
          <cell r="E336">
            <v>2.5807260000000002E-3</v>
          </cell>
          <cell r="F336" t="str">
            <v>Liquid</v>
          </cell>
        </row>
        <row r="337">
          <cell r="D337">
            <v>3</v>
          </cell>
          <cell r="E337">
            <v>2.5807719999999998E-3</v>
          </cell>
          <cell r="F337" t="str">
            <v>Liquid</v>
          </cell>
        </row>
        <row r="338">
          <cell r="D338">
            <v>3</v>
          </cell>
          <cell r="E338">
            <v>4.1025860000000001E-3</v>
          </cell>
          <cell r="F338" t="str">
            <v>Liquid</v>
          </cell>
        </row>
        <row r="339">
          <cell r="D339">
            <v>3</v>
          </cell>
          <cell r="E339">
            <v>2.7274409999999998E-4</v>
          </cell>
          <cell r="F339" t="str">
            <v>Liquid</v>
          </cell>
        </row>
        <row r="340">
          <cell r="D340">
            <v>3</v>
          </cell>
          <cell r="E340">
            <v>1.044338E-2</v>
          </cell>
          <cell r="F340" t="str">
            <v>Liquid</v>
          </cell>
        </row>
        <row r="341">
          <cell r="D341">
            <v>3</v>
          </cell>
          <cell r="E341">
            <v>7.262236E-3</v>
          </cell>
          <cell r="F341" t="str">
            <v>Liquid</v>
          </cell>
        </row>
        <row r="342">
          <cell r="D342">
            <v>3</v>
          </cell>
          <cell r="E342">
            <v>1.305427E-2</v>
          </cell>
          <cell r="F342" t="str">
            <v>Liquid</v>
          </cell>
        </row>
        <row r="343">
          <cell r="D343">
            <v>3</v>
          </cell>
          <cell r="E343">
            <v>4.1512479999999997E-3</v>
          </cell>
          <cell r="F343" t="str">
            <v>Liquid</v>
          </cell>
        </row>
        <row r="344">
          <cell r="D344">
            <v>3</v>
          </cell>
          <cell r="E344">
            <v>8.3691519999999995E-3</v>
          </cell>
          <cell r="F344" t="str">
            <v>Liquid</v>
          </cell>
        </row>
        <row r="345">
          <cell r="D345">
            <v>3</v>
          </cell>
          <cell r="E345">
            <v>2.630331E-2</v>
          </cell>
          <cell r="F345" t="str">
            <v>Liquid</v>
          </cell>
        </row>
        <row r="346">
          <cell r="D346">
            <v>3</v>
          </cell>
          <cell r="E346">
            <v>2.6131769999999999E-3</v>
          </cell>
          <cell r="F346" t="str">
            <v>Liquid</v>
          </cell>
        </row>
        <row r="347">
          <cell r="D347">
            <v>3</v>
          </cell>
          <cell r="E347">
            <v>4.7983029999999999E-4</v>
          </cell>
          <cell r="F347" t="str">
            <v>Liquid</v>
          </cell>
        </row>
        <row r="348">
          <cell r="D348">
            <v>3</v>
          </cell>
          <cell r="E348">
            <v>5.2263459999999998E-3</v>
          </cell>
          <cell r="F348" t="str">
            <v>Liquid</v>
          </cell>
        </row>
        <row r="349">
          <cell r="D349">
            <v>3</v>
          </cell>
          <cell r="E349">
            <v>6.0252200000000004E-3</v>
          </cell>
          <cell r="F349" t="str">
            <v>Liquid</v>
          </cell>
        </row>
        <row r="350">
          <cell r="D350">
            <v>3</v>
          </cell>
          <cell r="E350">
            <v>6.1934299999999996E-4</v>
          </cell>
          <cell r="F350" t="str">
            <v>Liquid</v>
          </cell>
        </row>
        <row r="351">
          <cell r="D351">
            <v>3</v>
          </cell>
          <cell r="E351">
            <v>2.6036549999999999E-3</v>
          </cell>
          <cell r="F351" t="str">
            <v>Liquid</v>
          </cell>
        </row>
        <row r="352">
          <cell r="D352">
            <v>3</v>
          </cell>
          <cell r="E352">
            <v>2.6036509999999998E-3</v>
          </cell>
          <cell r="F352" t="str">
            <v>Liquid</v>
          </cell>
        </row>
        <row r="353">
          <cell r="D353">
            <v>3</v>
          </cell>
          <cell r="E353">
            <v>9.6084320000000001E-3</v>
          </cell>
          <cell r="F353" t="str">
            <v>Liquid</v>
          </cell>
        </row>
        <row r="354">
          <cell r="D354">
            <v>3</v>
          </cell>
          <cell r="E354">
            <v>1.11228E-2</v>
          </cell>
          <cell r="F354" t="str">
            <v>Liquid</v>
          </cell>
        </row>
        <row r="355">
          <cell r="D355">
            <v>3</v>
          </cell>
          <cell r="E355">
            <v>3.6524399999999999E-2</v>
          </cell>
          <cell r="F355" t="str">
            <v>Liquid</v>
          </cell>
        </row>
        <row r="356">
          <cell r="D356">
            <v>4</v>
          </cell>
          <cell r="E356">
            <v>1.135303E-3</v>
          </cell>
          <cell r="F356" t="str">
            <v>Liquid</v>
          </cell>
        </row>
        <row r="357">
          <cell r="D357">
            <v>4</v>
          </cell>
          <cell r="E357">
            <v>3.7785899999999997E-2</v>
          </cell>
          <cell r="F357" t="str">
            <v>Liquid</v>
          </cell>
        </row>
        <row r="358">
          <cell r="D358">
            <v>4</v>
          </cell>
          <cell r="E358">
            <v>2.725594E-3</v>
          </cell>
          <cell r="F358" t="str">
            <v>Liquid</v>
          </cell>
        </row>
        <row r="359">
          <cell r="D359">
            <v>4</v>
          </cell>
          <cell r="E359">
            <v>2.5154769999999999E-3</v>
          </cell>
          <cell r="F359" t="str">
            <v>Liquid</v>
          </cell>
        </row>
        <row r="360">
          <cell r="D360">
            <v>4</v>
          </cell>
          <cell r="E360">
            <v>2.1472280000000002E-3</v>
          </cell>
          <cell r="F360" t="str">
            <v>Liquid</v>
          </cell>
        </row>
        <row r="361">
          <cell r="D361">
            <v>4</v>
          </cell>
          <cell r="E361">
            <v>1.5476729999999999E-2</v>
          </cell>
          <cell r="F361" t="str">
            <v>Liquid</v>
          </cell>
        </row>
        <row r="362">
          <cell r="D362">
            <v>4</v>
          </cell>
          <cell r="E362">
            <v>2.4784429999999999E-3</v>
          </cell>
          <cell r="F362" t="str">
            <v>Liquid</v>
          </cell>
        </row>
        <row r="363">
          <cell r="D363">
            <v>4</v>
          </cell>
          <cell r="E363">
            <v>1.240707E-3</v>
          </cell>
          <cell r="F363" t="str">
            <v>Liquid</v>
          </cell>
        </row>
        <row r="364">
          <cell r="D364">
            <v>4</v>
          </cell>
          <cell r="E364">
            <v>1.020327E-2</v>
          </cell>
          <cell r="F364" t="str">
            <v>Liquid</v>
          </cell>
        </row>
        <row r="365">
          <cell r="D365">
            <v>4</v>
          </cell>
          <cell r="E365">
            <v>2.4555459999999999E-3</v>
          </cell>
          <cell r="F365" t="str">
            <v>Liquid</v>
          </cell>
        </row>
        <row r="366">
          <cell r="D366">
            <v>4</v>
          </cell>
          <cell r="E366">
            <v>2.4555499999999999E-3</v>
          </cell>
          <cell r="F366" t="str">
            <v>Liquid</v>
          </cell>
        </row>
        <row r="367">
          <cell r="D367">
            <v>4</v>
          </cell>
          <cell r="E367">
            <v>2.4554970000000001E-3</v>
          </cell>
          <cell r="F367" t="str">
            <v>Liquid</v>
          </cell>
        </row>
        <row r="368">
          <cell r="D368">
            <v>4</v>
          </cell>
          <cell r="E368">
            <v>2.4570830000000001E-3</v>
          </cell>
          <cell r="F368" t="str">
            <v>Liquid</v>
          </cell>
        </row>
        <row r="369">
          <cell r="D369">
            <v>4</v>
          </cell>
          <cell r="E369">
            <v>7.2146950000000001E-3</v>
          </cell>
          <cell r="F369" t="str">
            <v>Liquid</v>
          </cell>
        </row>
        <row r="370">
          <cell r="D370">
            <v>4</v>
          </cell>
          <cell r="E370">
            <v>2.2181789999999998E-3</v>
          </cell>
          <cell r="F370" t="str">
            <v>Liquid</v>
          </cell>
        </row>
        <row r="371">
          <cell r="D371">
            <v>4</v>
          </cell>
          <cell r="E371">
            <v>2.6006010000000001E-3</v>
          </cell>
          <cell r="F371" t="str">
            <v>Liquid</v>
          </cell>
        </row>
        <row r="372">
          <cell r="D372">
            <v>4</v>
          </cell>
          <cell r="E372">
            <v>9.2642240000000002E-4</v>
          </cell>
          <cell r="F372" t="str">
            <v>Liquid</v>
          </cell>
        </row>
        <row r="373">
          <cell r="D373">
            <v>4</v>
          </cell>
          <cell r="E373">
            <v>3.3054899999999999E-3</v>
          </cell>
          <cell r="F373" t="str">
            <v>Liquid</v>
          </cell>
        </row>
        <row r="374">
          <cell r="D374">
            <v>4</v>
          </cell>
          <cell r="E374">
            <v>2.610883E-3</v>
          </cell>
          <cell r="F374" t="str">
            <v>Liquid</v>
          </cell>
        </row>
        <row r="375">
          <cell r="D375">
            <v>4</v>
          </cell>
          <cell r="E375">
            <v>5.2217390000000004E-3</v>
          </cell>
          <cell r="F375" t="str">
            <v>Liquid</v>
          </cell>
        </row>
        <row r="376">
          <cell r="D376">
            <v>4</v>
          </cell>
          <cell r="E376">
            <v>8.3856519999999995E-4</v>
          </cell>
          <cell r="F376" t="str">
            <v>Liquid</v>
          </cell>
        </row>
        <row r="377">
          <cell r="D377">
            <v>4</v>
          </cell>
          <cell r="E377">
            <v>5.2264160000000002E-3</v>
          </cell>
          <cell r="F377" t="str">
            <v>Liquid</v>
          </cell>
        </row>
        <row r="378">
          <cell r="D378">
            <v>4</v>
          </cell>
          <cell r="E378">
            <v>2.613144E-3</v>
          </cell>
          <cell r="F378" t="str">
            <v>Liquid</v>
          </cell>
        </row>
        <row r="379">
          <cell r="D379">
            <v>4</v>
          </cell>
          <cell r="E379">
            <v>5.2216470000000003E-3</v>
          </cell>
          <cell r="F379" t="str">
            <v>Liquid</v>
          </cell>
        </row>
        <row r="380">
          <cell r="D380">
            <v>4</v>
          </cell>
          <cell r="E380">
            <v>2.6132E-3</v>
          </cell>
          <cell r="F380" t="str">
            <v>Liquid</v>
          </cell>
        </row>
        <row r="381">
          <cell r="D381">
            <v>4</v>
          </cell>
          <cell r="E381">
            <v>2.1333459999999999E-3</v>
          </cell>
          <cell r="F381" t="str">
            <v>Liquid</v>
          </cell>
        </row>
        <row r="382">
          <cell r="D382">
            <v>4</v>
          </cell>
          <cell r="E382">
            <v>2.6131079999999998E-3</v>
          </cell>
          <cell r="F382" t="str">
            <v>Liquid</v>
          </cell>
        </row>
        <row r="383">
          <cell r="D383">
            <v>4</v>
          </cell>
          <cell r="E383">
            <v>2.5659379999999999E-2</v>
          </cell>
          <cell r="F383" t="str">
            <v>Liquid</v>
          </cell>
        </row>
        <row r="384">
          <cell r="D384">
            <v>4</v>
          </cell>
          <cell r="E384">
            <v>1.2321680000000001E-3</v>
          </cell>
          <cell r="F384" t="str">
            <v>Liquid</v>
          </cell>
        </row>
        <row r="385">
          <cell r="D385">
            <v>4</v>
          </cell>
          <cell r="E385">
            <v>2.390414E-3</v>
          </cell>
          <cell r="F385" t="str">
            <v>Liquid</v>
          </cell>
        </row>
        <row r="386">
          <cell r="D386">
            <v>4</v>
          </cell>
          <cell r="E386">
            <v>2.6036449999999999E-3</v>
          </cell>
          <cell r="F386" t="str">
            <v>Liquid</v>
          </cell>
        </row>
        <row r="387">
          <cell r="D387">
            <v>4</v>
          </cell>
          <cell r="E387">
            <v>4.5524769999999999E-2</v>
          </cell>
          <cell r="F387" t="str">
            <v>Liquid</v>
          </cell>
        </row>
        <row r="388">
          <cell r="D388">
            <v>4</v>
          </cell>
          <cell r="E388">
            <v>1.9904450000000001E-2</v>
          </cell>
          <cell r="F388" t="str">
            <v>Liquid</v>
          </cell>
        </row>
        <row r="389">
          <cell r="D389">
            <v>5</v>
          </cell>
          <cell r="E389">
            <v>2.895239E-3</v>
          </cell>
          <cell r="F389" t="str">
            <v>Liquid</v>
          </cell>
        </row>
        <row r="390">
          <cell r="D390">
            <v>5</v>
          </cell>
          <cell r="E390">
            <v>2.6089609999999999E-3</v>
          </cell>
          <cell r="F390" t="str">
            <v>Liquid</v>
          </cell>
        </row>
        <row r="391">
          <cell r="D391">
            <v>5</v>
          </cell>
          <cell r="E391">
            <v>2.5155249999999998E-3</v>
          </cell>
          <cell r="F391" t="str">
            <v>Liquid</v>
          </cell>
        </row>
        <row r="392">
          <cell r="D392">
            <v>5</v>
          </cell>
          <cell r="E392">
            <v>8.6328710000000003E-3</v>
          </cell>
          <cell r="F392" t="str">
            <v>Liquid</v>
          </cell>
        </row>
        <row r="393">
          <cell r="D393">
            <v>5</v>
          </cell>
          <cell r="E393">
            <v>2.715842E-3</v>
          </cell>
          <cell r="F393" t="str">
            <v>Liquid</v>
          </cell>
        </row>
        <row r="394">
          <cell r="D394">
            <v>5</v>
          </cell>
          <cell r="E394">
            <v>1.152042E-2</v>
          </cell>
          <cell r="F394" t="str">
            <v>Liquid</v>
          </cell>
        </row>
        <row r="395">
          <cell r="D395">
            <v>5</v>
          </cell>
          <cell r="E395">
            <v>0.1716955</v>
          </cell>
          <cell r="F395" t="str">
            <v>Liquid</v>
          </cell>
        </row>
        <row r="396">
          <cell r="D396">
            <v>5</v>
          </cell>
          <cell r="E396">
            <v>0.34682940000000001</v>
          </cell>
          <cell r="F396" t="str">
            <v>Liquid</v>
          </cell>
        </row>
        <row r="397">
          <cell r="D397">
            <v>5</v>
          </cell>
          <cell r="E397">
            <v>2.4555499999999999E-3</v>
          </cell>
          <cell r="F397" t="str">
            <v>Liquid</v>
          </cell>
        </row>
        <row r="398">
          <cell r="D398">
            <v>5</v>
          </cell>
          <cell r="E398">
            <v>4.9110960000000002E-3</v>
          </cell>
          <cell r="F398" t="str">
            <v>Liquid</v>
          </cell>
        </row>
        <row r="399">
          <cell r="D399">
            <v>5</v>
          </cell>
          <cell r="E399">
            <v>1.040288E-2</v>
          </cell>
          <cell r="F399" t="str">
            <v>Liquid</v>
          </cell>
        </row>
        <row r="400">
          <cell r="D400">
            <v>5</v>
          </cell>
          <cell r="E400">
            <v>1.6544159999999999E-3</v>
          </cell>
          <cell r="F400" t="str">
            <v>Liquid</v>
          </cell>
        </row>
        <row r="401">
          <cell r="D401">
            <v>5</v>
          </cell>
          <cell r="E401">
            <v>2.6108899999999998E-3</v>
          </cell>
          <cell r="F401" t="str">
            <v>Liquid</v>
          </cell>
        </row>
        <row r="402">
          <cell r="D402">
            <v>5</v>
          </cell>
          <cell r="E402">
            <v>2.610883E-3</v>
          </cell>
          <cell r="F402" t="str">
            <v>Liquid</v>
          </cell>
        </row>
        <row r="403">
          <cell r="D403">
            <v>5</v>
          </cell>
          <cell r="E403">
            <v>1.7100460000000001E-2</v>
          </cell>
          <cell r="F403" t="str">
            <v>Liquid</v>
          </cell>
        </row>
        <row r="404">
          <cell r="D404">
            <v>5</v>
          </cell>
          <cell r="E404">
            <v>2.1872659999999999E-2</v>
          </cell>
          <cell r="F404" t="str">
            <v>Liquid</v>
          </cell>
        </row>
        <row r="405">
          <cell r="D405">
            <v>5</v>
          </cell>
          <cell r="E405">
            <v>2.3255530000000002E-3</v>
          </cell>
          <cell r="F405" t="str">
            <v>Liquid</v>
          </cell>
        </row>
        <row r="406">
          <cell r="D406">
            <v>5</v>
          </cell>
          <cell r="E406">
            <v>1.603239E-3</v>
          </cell>
          <cell r="F406" t="str">
            <v>Liquid</v>
          </cell>
        </row>
        <row r="407">
          <cell r="D407">
            <v>5</v>
          </cell>
          <cell r="E407">
            <v>2.6131330000000001E-3</v>
          </cell>
          <cell r="F407" t="str">
            <v>Liquid</v>
          </cell>
        </row>
        <row r="408">
          <cell r="D408">
            <v>5</v>
          </cell>
          <cell r="E408">
            <v>6.0377500000000001E-2</v>
          </cell>
          <cell r="F408" t="str">
            <v>Liquid</v>
          </cell>
        </row>
        <row r="409">
          <cell r="D409">
            <v>5</v>
          </cell>
          <cell r="E409">
            <v>2.6131689999999998E-3</v>
          </cell>
          <cell r="F409" t="str">
            <v>Liquid</v>
          </cell>
        </row>
        <row r="410">
          <cell r="D410">
            <v>5</v>
          </cell>
          <cell r="E410">
            <v>1.652031E-2</v>
          </cell>
          <cell r="F410" t="str">
            <v>Liquid</v>
          </cell>
        </row>
        <row r="411">
          <cell r="D411">
            <v>5</v>
          </cell>
          <cell r="E411">
            <v>3.050901E-3</v>
          </cell>
          <cell r="F411" t="str">
            <v>Liquid</v>
          </cell>
        </row>
        <row r="412">
          <cell r="D412">
            <v>5</v>
          </cell>
          <cell r="E412">
            <v>2.6036079999999999E-3</v>
          </cell>
          <cell r="F412" t="str">
            <v>Liquid</v>
          </cell>
        </row>
        <row r="413">
          <cell r="D413">
            <v>5</v>
          </cell>
          <cell r="E413">
            <v>2.5791960000000002E-3</v>
          </cell>
          <cell r="F413" t="str">
            <v>Liquid</v>
          </cell>
        </row>
        <row r="414">
          <cell r="D414">
            <v>5</v>
          </cell>
          <cell r="E414">
            <v>1.4206729999999999E-3</v>
          </cell>
          <cell r="F414" t="str">
            <v>Liquid</v>
          </cell>
        </row>
        <row r="415">
          <cell r="D415">
            <v>5</v>
          </cell>
          <cell r="E415">
            <v>2.6036050000000002E-3</v>
          </cell>
          <cell r="F415" t="str">
            <v>Liquid</v>
          </cell>
        </row>
        <row r="416">
          <cell r="D416">
            <v>5</v>
          </cell>
          <cell r="E416">
            <v>7.5505290000000003E-2</v>
          </cell>
          <cell r="F416" t="str">
            <v>Liquid</v>
          </cell>
        </row>
        <row r="417">
          <cell r="D417">
            <v>5</v>
          </cell>
          <cell r="E417">
            <v>1.0299600000000001E-2</v>
          </cell>
          <cell r="F417" t="str">
            <v>Liquid</v>
          </cell>
        </row>
        <row r="418">
          <cell r="D418">
            <v>5</v>
          </cell>
          <cell r="E418">
            <v>1.025973E-2</v>
          </cell>
          <cell r="F418" t="str">
            <v>Liquid</v>
          </cell>
        </row>
        <row r="419">
          <cell r="D419">
            <v>5</v>
          </cell>
          <cell r="E419">
            <v>7.7401220000000003E-3</v>
          </cell>
          <cell r="F419" t="str">
            <v>Liquid</v>
          </cell>
        </row>
        <row r="420">
          <cell r="D420">
            <v>6</v>
          </cell>
          <cell r="E420">
            <v>1.5301430000000001E-3</v>
          </cell>
          <cell r="F420" t="str">
            <v>Liquid</v>
          </cell>
        </row>
        <row r="421">
          <cell r="D421">
            <v>6</v>
          </cell>
          <cell r="E421">
            <v>2.6026679999999998E-3</v>
          </cell>
          <cell r="F421" t="str">
            <v>Liquid</v>
          </cell>
        </row>
        <row r="422">
          <cell r="D422">
            <v>6</v>
          </cell>
          <cell r="E422">
            <v>6.7102050000000003E-3</v>
          </cell>
          <cell r="F422" t="str">
            <v>Liquid</v>
          </cell>
        </row>
        <row r="423">
          <cell r="D423">
            <v>6</v>
          </cell>
          <cell r="E423">
            <v>6.0517909999999999E-4</v>
          </cell>
          <cell r="F423" t="str">
            <v>Liquid</v>
          </cell>
        </row>
        <row r="424">
          <cell r="D424">
            <v>6</v>
          </cell>
          <cell r="E424">
            <v>1.0435720000000001E-2</v>
          </cell>
          <cell r="F424" t="str">
            <v>Liquid</v>
          </cell>
        </row>
        <row r="425">
          <cell r="D425">
            <v>6</v>
          </cell>
          <cell r="E425">
            <v>3.1185420000000002E-3</v>
          </cell>
          <cell r="F425" t="str">
            <v>Liquid</v>
          </cell>
        </row>
        <row r="426">
          <cell r="D426">
            <v>6</v>
          </cell>
          <cell r="E426">
            <v>1.678328E-3</v>
          </cell>
          <cell r="F426" t="str">
            <v>Liquid</v>
          </cell>
        </row>
        <row r="427">
          <cell r="D427">
            <v>6</v>
          </cell>
          <cell r="E427">
            <v>0.2916533</v>
          </cell>
          <cell r="F427" t="str">
            <v>Liquid</v>
          </cell>
        </row>
        <row r="428">
          <cell r="D428">
            <v>6</v>
          </cell>
          <cell r="E428">
            <v>5.0215969999999999E-2</v>
          </cell>
          <cell r="F428" t="str">
            <v>Liquid</v>
          </cell>
        </row>
        <row r="429">
          <cell r="D429">
            <v>6</v>
          </cell>
          <cell r="E429">
            <v>3.3827240000000001E-2</v>
          </cell>
          <cell r="F429" t="str">
            <v>Liquid</v>
          </cell>
        </row>
        <row r="430">
          <cell r="D430">
            <v>6</v>
          </cell>
          <cell r="E430">
            <v>8.6968659999999993E-3</v>
          </cell>
          <cell r="F430" t="str">
            <v>Liquid</v>
          </cell>
        </row>
        <row r="431">
          <cell r="D431">
            <v>6</v>
          </cell>
          <cell r="E431">
            <v>1.237735E-3</v>
          </cell>
          <cell r="F431" t="str">
            <v>Liquid</v>
          </cell>
        </row>
        <row r="432">
          <cell r="D432">
            <v>6</v>
          </cell>
          <cell r="E432">
            <v>2.4783930000000002E-3</v>
          </cell>
          <cell r="F432" t="str">
            <v>Liquid</v>
          </cell>
        </row>
        <row r="433">
          <cell r="D433">
            <v>6</v>
          </cell>
          <cell r="E433">
            <v>2.8598999999999999E-3</v>
          </cell>
          <cell r="F433" t="str">
            <v>Liquid</v>
          </cell>
        </row>
        <row r="434">
          <cell r="D434">
            <v>6</v>
          </cell>
          <cell r="E434">
            <v>2.4515629999999999E-3</v>
          </cell>
          <cell r="F434" t="str">
            <v>Liquid</v>
          </cell>
        </row>
        <row r="435">
          <cell r="D435">
            <v>6</v>
          </cell>
          <cell r="E435">
            <v>1.802173E-3</v>
          </cell>
          <cell r="F435" t="str">
            <v>Liquid</v>
          </cell>
        </row>
        <row r="436">
          <cell r="D436">
            <v>6</v>
          </cell>
          <cell r="E436">
            <v>2.4561420000000001E-3</v>
          </cell>
          <cell r="F436" t="str">
            <v>Liquid</v>
          </cell>
        </row>
        <row r="437">
          <cell r="D437">
            <v>6</v>
          </cell>
          <cell r="E437">
            <v>2.4538339999999998E-3</v>
          </cell>
          <cell r="F437" t="str">
            <v>Liquid</v>
          </cell>
        </row>
        <row r="438">
          <cell r="D438">
            <v>6</v>
          </cell>
          <cell r="E438">
            <v>2.4571319999999999E-3</v>
          </cell>
          <cell r="F438" t="str">
            <v>Liquid</v>
          </cell>
        </row>
        <row r="439">
          <cell r="D439">
            <v>6</v>
          </cell>
          <cell r="E439">
            <v>7.6597319999999994E-5</v>
          </cell>
          <cell r="F439" t="str">
            <v>Liquid</v>
          </cell>
        </row>
        <row r="440">
          <cell r="D440">
            <v>6</v>
          </cell>
          <cell r="E440">
            <v>3.8258340000000001E-4</v>
          </cell>
          <cell r="F440" t="str">
            <v>Liquid</v>
          </cell>
        </row>
        <row r="441">
          <cell r="D441">
            <v>6</v>
          </cell>
          <cell r="E441">
            <v>5.2013830000000004E-3</v>
          </cell>
          <cell r="F441" t="str">
            <v>Liquid</v>
          </cell>
        </row>
        <row r="442">
          <cell r="D442">
            <v>6</v>
          </cell>
          <cell r="E442">
            <v>2.1176609999999998E-3</v>
          </cell>
          <cell r="F442" t="str">
            <v>Liquid</v>
          </cell>
        </row>
        <row r="443">
          <cell r="D443">
            <v>6</v>
          </cell>
          <cell r="E443">
            <v>9.0257280000000002E-3</v>
          </cell>
          <cell r="F443" t="str">
            <v>Liquid</v>
          </cell>
        </row>
        <row r="444">
          <cell r="D444">
            <v>6</v>
          </cell>
          <cell r="E444">
            <v>1.423E-2</v>
          </cell>
          <cell r="F444" t="str">
            <v>Liquid</v>
          </cell>
        </row>
        <row r="445">
          <cell r="D445">
            <v>6</v>
          </cell>
          <cell r="E445">
            <v>2.6108619999999998E-3</v>
          </cell>
          <cell r="F445" t="str">
            <v>Liquid</v>
          </cell>
        </row>
        <row r="446">
          <cell r="D446">
            <v>6</v>
          </cell>
          <cell r="E446">
            <v>5.1798970000000001E-3</v>
          </cell>
          <cell r="F446" t="str">
            <v>Liquid</v>
          </cell>
        </row>
        <row r="447">
          <cell r="D447">
            <v>6</v>
          </cell>
          <cell r="E447">
            <v>2.8764349999999998E-4</v>
          </cell>
          <cell r="F447" t="str">
            <v>Liquid</v>
          </cell>
        </row>
        <row r="448">
          <cell r="D448">
            <v>6</v>
          </cell>
          <cell r="E448">
            <v>2.613195E-3</v>
          </cell>
          <cell r="F448" t="str">
            <v>Liquid</v>
          </cell>
        </row>
        <row r="449">
          <cell r="D449">
            <v>6</v>
          </cell>
          <cell r="E449">
            <v>2.6132109999999998E-3</v>
          </cell>
          <cell r="F449" t="str">
            <v>Liquid</v>
          </cell>
        </row>
        <row r="450">
          <cell r="D450">
            <v>6</v>
          </cell>
          <cell r="E450">
            <v>2.455011E-3</v>
          </cell>
          <cell r="F450" t="str">
            <v>Liquid</v>
          </cell>
        </row>
        <row r="451">
          <cell r="D451">
            <v>6</v>
          </cell>
          <cell r="E451">
            <v>2.006378E-2</v>
          </cell>
          <cell r="F451" t="str">
            <v>Liquid</v>
          </cell>
        </row>
        <row r="452">
          <cell r="D452">
            <v>6</v>
          </cell>
          <cell r="E452">
            <v>3.6626889999999998E-3</v>
          </cell>
          <cell r="F452" t="str">
            <v>Liquid</v>
          </cell>
        </row>
        <row r="453">
          <cell r="D453">
            <v>6</v>
          </cell>
          <cell r="E453">
            <v>4.7885310000000004E-3</v>
          </cell>
          <cell r="F453" t="str">
            <v>Liquid</v>
          </cell>
        </row>
        <row r="454">
          <cell r="D454">
            <v>6</v>
          </cell>
          <cell r="E454">
            <v>2.6035989999999998E-3</v>
          </cell>
          <cell r="F454" t="str">
            <v>Liquid</v>
          </cell>
        </row>
        <row r="455">
          <cell r="D455">
            <v>6</v>
          </cell>
          <cell r="E455">
            <v>2.6035870000000001E-3</v>
          </cell>
          <cell r="F455" t="str">
            <v>Liquid</v>
          </cell>
        </row>
        <row r="456">
          <cell r="D456">
            <v>6</v>
          </cell>
          <cell r="E456">
            <v>1.1621960000000001E-2</v>
          </cell>
          <cell r="F456" t="str">
            <v>Liquid</v>
          </cell>
        </row>
        <row r="457">
          <cell r="D457">
            <v>6</v>
          </cell>
          <cell r="E457">
            <v>1.0299549999999999E-2</v>
          </cell>
          <cell r="F457" t="str">
            <v>Liquid</v>
          </cell>
        </row>
        <row r="458">
          <cell r="D458">
            <v>6</v>
          </cell>
          <cell r="E458">
            <v>2.1650530000000001E-2</v>
          </cell>
          <cell r="F458" t="str">
            <v>Liquid</v>
          </cell>
        </row>
        <row r="459">
          <cell r="D459">
            <v>6</v>
          </cell>
          <cell r="E459">
            <v>2.0519539999999999E-2</v>
          </cell>
          <cell r="F459" t="str">
            <v>Liquid</v>
          </cell>
        </row>
        <row r="460">
          <cell r="D460">
            <v>0</v>
          </cell>
          <cell r="E460">
            <v>0.45606600000000003</v>
          </cell>
          <cell r="F460" t="str">
            <v>Liquid</v>
          </cell>
        </row>
        <row r="461">
          <cell r="D461">
            <v>1</v>
          </cell>
          <cell r="E461">
            <v>6.0320319999999997E-3</v>
          </cell>
          <cell r="F461" t="str">
            <v>Liquid</v>
          </cell>
        </row>
        <row r="462">
          <cell r="D462">
            <v>1</v>
          </cell>
          <cell r="E462">
            <v>4.9029479999999999E-3</v>
          </cell>
          <cell r="F462" t="str">
            <v>Liquid</v>
          </cell>
        </row>
        <row r="463">
          <cell r="D463">
            <v>1</v>
          </cell>
          <cell r="E463">
            <v>7.3544459999999997E-3</v>
          </cell>
          <cell r="F463" t="str">
            <v>Liquid</v>
          </cell>
        </row>
        <row r="464">
          <cell r="D464">
            <v>1</v>
          </cell>
          <cell r="E464">
            <v>9.8058940000000008E-3</v>
          </cell>
          <cell r="F464" t="str">
            <v>Liquid</v>
          </cell>
        </row>
        <row r="465">
          <cell r="D465">
            <v>1</v>
          </cell>
          <cell r="E465">
            <v>7.3544459999999997E-3</v>
          </cell>
          <cell r="F465" t="str">
            <v>Liquid</v>
          </cell>
        </row>
        <row r="466">
          <cell r="D466">
            <v>1</v>
          </cell>
          <cell r="E466">
            <v>0.1054139</v>
          </cell>
          <cell r="F466" t="str">
            <v>Liquid</v>
          </cell>
        </row>
        <row r="467">
          <cell r="D467">
            <v>1</v>
          </cell>
          <cell r="E467">
            <v>2.4540510000000001E-3</v>
          </cell>
          <cell r="F467" t="str">
            <v>Liquid</v>
          </cell>
        </row>
        <row r="468">
          <cell r="D468">
            <v>1</v>
          </cell>
          <cell r="E468">
            <v>4.9080529999999999E-3</v>
          </cell>
          <cell r="F468" t="str">
            <v>Liquid</v>
          </cell>
        </row>
        <row r="469">
          <cell r="D469">
            <v>1</v>
          </cell>
          <cell r="E469">
            <v>4.9080579999999999E-3</v>
          </cell>
          <cell r="F469" t="str">
            <v>Liquid</v>
          </cell>
        </row>
        <row r="470">
          <cell r="D470">
            <v>1</v>
          </cell>
          <cell r="E470">
            <v>4.1718650000000003E-2</v>
          </cell>
          <cell r="F470" t="str">
            <v>Liquid</v>
          </cell>
        </row>
        <row r="471">
          <cell r="D471">
            <v>1</v>
          </cell>
          <cell r="E471">
            <v>4.9081569999999998E-3</v>
          </cell>
          <cell r="F471" t="str">
            <v>Liquid</v>
          </cell>
        </row>
        <row r="472">
          <cell r="D472">
            <v>1</v>
          </cell>
          <cell r="E472">
            <v>7.4840269999999999E-3</v>
          </cell>
          <cell r="F472" t="str">
            <v>Liquid</v>
          </cell>
        </row>
        <row r="473">
          <cell r="D473">
            <v>1</v>
          </cell>
          <cell r="E473">
            <v>7.3621019999999997E-3</v>
          </cell>
          <cell r="F473" t="str">
            <v>Liquid</v>
          </cell>
        </row>
        <row r="474">
          <cell r="D474">
            <v>2</v>
          </cell>
          <cell r="E474">
            <v>5.9494669999999999E-3</v>
          </cell>
          <cell r="F474" t="str">
            <v>Liquid</v>
          </cell>
        </row>
        <row r="475">
          <cell r="D475">
            <v>2</v>
          </cell>
          <cell r="E475">
            <v>2.451505E-2</v>
          </cell>
          <cell r="F475" t="str">
            <v>Liquid</v>
          </cell>
        </row>
        <row r="476">
          <cell r="D476">
            <v>2</v>
          </cell>
          <cell r="E476">
            <v>9.8059449999999999E-3</v>
          </cell>
          <cell r="F476" t="str">
            <v>Liquid</v>
          </cell>
        </row>
        <row r="477">
          <cell r="D477">
            <v>2</v>
          </cell>
          <cell r="E477">
            <v>7.3543949999999997E-3</v>
          </cell>
          <cell r="F477" t="str">
            <v>Liquid</v>
          </cell>
        </row>
        <row r="478">
          <cell r="D478">
            <v>2</v>
          </cell>
          <cell r="E478">
            <v>2.4540040000000001E-3</v>
          </cell>
          <cell r="F478" t="str">
            <v>Liquid</v>
          </cell>
        </row>
        <row r="479">
          <cell r="D479">
            <v>2</v>
          </cell>
          <cell r="E479">
            <v>2.454028E-3</v>
          </cell>
          <cell r="F479" t="str">
            <v>Liquid</v>
          </cell>
        </row>
        <row r="480">
          <cell r="D480">
            <v>3</v>
          </cell>
          <cell r="E480">
            <v>1.7063640000000001E-2</v>
          </cell>
          <cell r="F480" t="str">
            <v>Liquid</v>
          </cell>
        </row>
        <row r="481">
          <cell r="D481">
            <v>3</v>
          </cell>
          <cell r="E481">
            <v>4.0472029999999999E-2</v>
          </cell>
          <cell r="F481" t="str">
            <v>Liquid</v>
          </cell>
        </row>
        <row r="482">
          <cell r="D482">
            <v>3</v>
          </cell>
          <cell r="E482">
            <v>2.4541260000000001E-3</v>
          </cell>
          <cell r="F482" t="str">
            <v>Liquid</v>
          </cell>
        </row>
        <row r="483">
          <cell r="D483">
            <v>4</v>
          </cell>
          <cell r="E483">
            <v>7.7418060000000004E-3</v>
          </cell>
          <cell r="F483" t="str">
            <v>Liquid</v>
          </cell>
        </row>
        <row r="484">
          <cell r="D484">
            <v>4</v>
          </cell>
          <cell r="E484">
            <v>4.9081039999999999E-3</v>
          </cell>
          <cell r="F484" t="str">
            <v>Liquid</v>
          </cell>
        </row>
        <row r="485">
          <cell r="D485">
            <v>5</v>
          </cell>
          <cell r="E485">
            <v>3.231622E-2</v>
          </cell>
          <cell r="F485" t="str">
            <v>Liquid</v>
          </cell>
        </row>
        <row r="486">
          <cell r="D486">
            <v>5</v>
          </cell>
          <cell r="E486">
            <v>2.4540759999999999E-3</v>
          </cell>
          <cell r="F486" t="str">
            <v>Liquid</v>
          </cell>
        </row>
        <row r="487">
          <cell r="D487">
            <v>6</v>
          </cell>
          <cell r="E487">
            <v>6.2469370000000001E-3</v>
          </cell>
          <cell r="F487" t="str">
            <v>Liquid</v>
          </cell>
        </row>
        <row r="488">
          <cell r="D488">
            <v>6</v>
          </cell>
          <cell r="E488">
            <v>1.61104E-2</v>
          </cell>
          <cell r="F488" t="str">
            <v>Liquid</v>
          </cell>
        </row>
        <row r="489">
          <cell r="D489">
            <v>6</v>
          </cell>
          <cell r="E489">
            <v>2.454028E-3</v>
          </cell>
          <cell r="F489" t="str">
            <v>Liquid</v>
          </cell>
        </row>
        <row r="490">
          <cell r="D490">
            <v>0</v>
          </cell>
          <cell r="E490">
            <v>8.2268679999999997E-2</v>
          </cell>
          <cell r="F490" t="str">
            <v>Liquid</v>
          </cell>
        </row>
        <row r="491">
          <cell r="D491">
            <v>0</v>
          </cell>
          <cell r="E491">
            <v>0.1195724</v>
          </cell>
          <cell r="F491" t="str">
            <v>Liquid</v>
          </cell>
        </row>
        <row r="492">
          <cell r="D492">
            <v>0</v>
          </cell>
          <cell r="E492">
            <v>0.1187797</v>
          </cell>
          <cell r="F492" t="str">
            <v>Liquid</v>
          </cell>
        </row>
        <row r="493">
          <cell r="D493">
            <v>0</v>
          </cell>
          <cell r="E493">
            <v>0.69199509999999997</v>
          </cell>
          <cell r="F493" t="str">
            <v>Liquid</v>
          </cell>
        </row>
        <row r="494">
          <cell r="D494">
            <v>1</v>
          </cell>
          <cell r="E494">
            <v>1.49225E-2</v>
          </cell>
          <cell r="F494" t="str">
            <v>Liquid</v>
          </cell>
        </row>
        <row r="495">
          <cell r="D495">
            <v>1</v>
          </cell>
          <cell r="E495">
            <v>2.59727E-3</v>
          </cell>
          <cell r="F495" t="str">
            <v>Liquid</v>
          </cell>
        </row>
        <row r="496">
          <cell r="D496">
            <v>1</v>
          </cell>
          <cell r="E496">
            <v>2.7242079999999998E-2</v>
          </cell>
          <cell r="F496" t="str">
            <v>Liquid</v>
          </cell>
        </row>
        <row r="497">
          <cell r="D497">
            <v>1</v>
          </cell>
          <cell r="E497">
            <v>8.4493160000000003E-4</v>
          </cell>
          <cell r="F497" t="str">
            <v>Liquid</v>
          </cell>
        </row>
        <row r="498">
          <cell r="D498">
            <v>1</v>
          </cell>
          <cell r="E498">
            <v>5.1946400000000004E-3</v>
          </cell>
          <cell r="F498" t="str">
            <v>Liquid</v>
          </cell>
        </row>
        <row r="499">
          <cell r="D499">
            <v>1</v>
          </cell>
          <cell r="E499">
            <v>5.1946140000000002E-3</v>
          </cell>
          <cell r="F499" t="str">
            <v>Liquid</v>
          </cell>
        </row>
        <row r="500">
          <cell r="D500">
            <v>1</v>
          </cell>
          <cell r="E500">
            <v>0.20625669999999999</v>
          </cell>
          <cell r="F500" t="str">
            <v>Liquid</v>
          </cell>
        </row>
        <row r="501">
          <cell r="D501">
            <v>1</v>
          </cell>
          <cell r="E501">
            <v>2.183937E-2</v>
          </cell>
          <cell r="F501" t="str">
            <v>Liquid</v>
          </cell>
        </row>
        <row r="502">
          <cell r="D502">
            <v>1</v>
          </cell>
          <cell r="E502">
            <v>0.4817227</v>
          </cell>
          <cell r="F502" t="str">
            <v>Liquid</v>
          </cell>
        </row>
        <row r="503">
          <cell r="D503">
            <v>1</v>
          </cell>
          <cell r="E503">
            <v>8.8269719999999996E-4</v>
          </cell>
          <cell r="F503" t="str">
            <v>Liquid</v>
          </cell>
        </row>
        <row r="504">
          <cell r="D504">
            <v>1</v>
          </cell>
          <cell r="E504">
            <v>2.4943999999999999E-3</v>
          </cell>
          <cell r="F504" t="str">
            <v>Liquid</v>
          </cell>
        </row>
        <row r="505">
          <cell r="D505">
            <v>1</v>
          </cell>
          <cell r="E505">
            <v>1.303556E-2</v>
          </cell>
          <cell r="F505" t="str">
            <v>Liquid</v>
          </cell>
        </row>
        <row r="506">
          <cell r="D506">
            <v>1</v>
          </cell>
          <cell r="E506">
            <v>2.319953E-3</v>
          </cell>
          <cell r="F506" t="str">
            <v>Liquid</v>
          </cell>
        </row>
        <row r="507">
          <cell r="D507">
            <v>1</v>
          </cell>
          <cell r="E507">
            <v>2.7499860000000001E-2</v>
          </cell>
          <cell r="F507" t="str">
            <v>Liquid</v>
          </cell>
        </row>
        <row r="508">
          <cell r="D508">
            <v>1</v>
          </cell>
          <cell r="E508">
            <v>1.908671E-3</v>
          </cell>
          <cell r="F508" t="str">
            <v>Liquid</v>
          </cell>
        </row>
        <row r="509">
          <cell r="D509">
            <v>1</v>
          </cell>
          <cell r="E509">
            <v>5.1930800000000001E-3</v>
          </cell>
          <cell r="F509" t="str">
            <v>Liquid</v>
          </cell>
        </row>
        <row r="510">
          <cell r="D510">
            <v>1</v>
          </cell>
          <cell r="E510">
            <v>7.1849929999999998E-3</v>
          </cell>
          <cell r="F510" t="str">
            <v>Liquid</v>
          </cell>
        </row>
        <row r="511">
          <cell r="D511">
            <v>1</v>
          </cell>
          <cell r="E511">
            <v>0.2116808</v>
          </cell>
          <cell r="F511" t="str">
            <v>Liquid</v>
          </cell>
        </row>
        <row r="512">
          <cell r="D512">
            <v>1</v>
          </cell>
          <cell r="E512">
            <v>2.0238289999999999E-2</v>
          </cell>
          <cell r="F512" t="str">
            <v>Liquid</v>
          </cell>
        </row>
        <row r="513">
          <cell r="D513">
            <v>1</v>
          </cell>
          <cell r="E513">
            <v>0.480188</v>
          </cell>
          <cell r="F513" t="str">
            <v>Liquid</v>
          </cell>
        </row>
        <row r="514">
          <cell r="D514">
            <v>1</v>
          </cell>
          <cell r="E514">
            <v>2.4925239999999999E-3</v>
          </cell>
          <cell r="F514" t="str">
            <v>Liquid</v>
          </cell>
        </row>
        <row r="515">
          <cell r="D515">
            <v>1</v>
          </cell>
          <cell r="E515">
            <v>2.4925239999999999E-3</v>
          </cell>
          <cell r="F515" t="str">
            <v>Liquid</v>
          </cell>
        </row>
        <row r="516">
          <cell r="D516">
            <v>1</v>
          </cell>
          <cell r="E516">
            <v>1.332907E-2</v>
          </cell>
          <cell r="F516" t="str">
            <v>Liquid</v>
          </cell>
        </row>
        <row r="517">
          <cell r="D517">
            <v>1</v>
          </cell>
          <cell r="E517">
            <v>2.5962849999999998E-3</v>
          </cell>
          <cell r="F517" t="str">
            <v>Liquid</v>
          </cell>
        </row>
        <row r="518">
          <cell r="D518">
            <v>1</v>
          </cell>
          <cell r="E518">
            <v>2.7567040000000001E-2</v>
          </cell>
          <cell r="F518" t="str">
            <v>Liquid</v>
          </cell>
        </row>
        <row r="519">
          <cell r="D519">
            <v>1</v>
          </cell>
          <cell r="E519">
            <v>1.4958720000000001E-3</v>
          </cell>
          <cell r="F519" t="str">
            <v>Liquid</v>
          </cell>
        </row>
        <row r="520">
          <cell r="D520">
            <v>1</v>
          </cell>
          <cell r="E520">
            <v>5.1926910000000001E-3</v>
          </cell>
          <cell r="F520" t="str">
            <v>Liquid</v>
          </cell>
        </row>
        <row r="521">
          <cell r="D521">
            <v>1</v>
          </cell>
          <cell r="E521">
            <v>5.8414510000000001E-3</v>
          </cell>
          <cell r="F521" t="str">
            <v>Liquid</v>
          </cell>
        </row>
        <row r="522">
          <cell r="D522">
            <v>1</v>
          </cell>
          <cell r="E522">
            <v>0.20914740000000001</v>
          </cell>
          <cell r="F522" t="str">
            <v>Liquid</v>
          </cell>
        </row>
        <row r="523">
          <cell r="D523">
            <v>1</v>
          </cell>
          <cell r="E523">
            <v>2.082533E-2</v>
          </cell>
          <cell r="F523" t="str">
            <v>Liquid</v>
          </cell>
        </row>
        <row r="524">
          <cell r="D524">
            <v>1</v>
          </cell>
          <cell r="E524">
            <v>0.47468050000000001</v>
          </cell>
          <cell r="F524" t="str">
            <v>Liquid</v>
          </cell>
        </row>
        <row r="525">
          <cell r="D525">
            <v>1</v>
          </cell>
          <cell r="E525">
            <v>7.9475359999999998E-3</v>
          </cell>
          <cell r="F525" t="str">
            <v>Liquid</v>
          </cell>
        </row>
        <row r="526">
          <cell r="D526">
            <v>1</v>
          </cell>
          <cell r="E526">
            <v>7.9475359999999998E-3</v>
          </cell>
          <cell r="F526" t="str">
            <v>Liquid</v>
          </cell>
        </row>
        <row r="527">
          <cell r="D527">
            <v>1</v>
          </cell>
          <cell r="E527">
            <v>3.7025929999999999E-2</v>
          </cell>
          <cell r="F527" t="str">
            <v>Liquid</v>
          </cell>
        </row>
        <row r="528">
          <cell r="D528">
            <v>1</v>
          </cell>
          <cell r="E528">
            <v>1.2701909999999999E-3</v>
          </cell>
          <cell r="F528" t="str">
            <v>Liquid</v>
          </cell>
        </row>
        <row r="529">
          <cell r="D529">
            <v>1</v>
          </cell>
          <cell r="E529">
            <v>1.2281439999999999E-2</v>
          </cell>
          <cell r="F529" t="str">
            <v>Liquid</v>
          </cell>
        </row>
        <row r="530">
          <cell r="D530">
            <v>1</v>
          </cell>
          <cell r="E530">
            <v>8.6526539999999992E-3</v>
          </cell>
          <cell r="F530" t="str">
            <v>Liquid</v>
          </cell>
        </row>
        <row r="531">
          <cell r="D531">
            <v>1</v>
          </cell>
          <cell r="E531">
            <v>7.3678340000000002E-3</v>
          </cell>
          <cell r="F531" t="str">
            <v>Liquid</v>
          </cell>
        </row>
        <row r="532">
          <cell r="D532">
            <v>1</v>
          </cell>
          <cell r="E532">
            <v>9.8587410000000007E-3</v>
          </cell>
          <cell r="F532" t="str">
            <v>Liquid</v>
          </cell>
        </row>
        <row r="533">
          <cell r="D533">
            <v>2</v>
          </cell>
          <cell r="E533">
            <v>5.0378410000000004E-3</v>
          </cell>
          <cell r="F533" t="str">
            <v>Liquid</v>
          </cell>
        </row>
        <row r="534">
          <cell r="D534">
            <v>2</v>
          </cell>
          <cell r="E534">
            <v>5.122503E-4</v>
          </cell>
          <cell r="F534" t="str">
            <v>Liquid</v>
          </cell>
        </row>
        <row r="535">
          <cell r="D535">
            <v>2</v>
          </cell>
          <cell r="E535">
            <v>2.6038760000000002E-3</v>
          </cell>
          <cell r="F535" t="str">
            <v>Liquid</v>
          </cell>
        </row>
        <row r="536">
          <cell r="D536">
            <v>2</v>
          </cell>
          <cell r="E536">
            <v>4.9560419999999999E-3</v>
          </cell>
          <cell r="F536" t="str">
            <v>Liquid</v>
          </cell>
        </row>
        <row r="537">
          <cell r="D537">
            <v>2</v>
          </cell>
          <cell r="E537">
            <v>2.595712E-3</v>
          </cell>
          <cell r="F537" t="str">
            <v>Liquid</v>
          </cell>
        </row>
        <row r="538">
          <cell r="D538">
            <v>2</v>
          </cell>
          <cell r="E538">
            <v>1.735665E-3</v>
          </cell>
          <cell r="F538" t="str">
            <v>Liquid</v>
          </cell>
        </row>
        <row r="539">
          <cell r="D539">
            <v>2</v>
          </cell>
          <cell r="E539">
            <v>1.5330249999999999E-3</v>
          </cell>
          <cell r="F539" t="str">
            <v>Liquid</v>
          </cell>
        </row>
        <row r="540">
          <cell r="D540">
            <v>2</v>
          </cell>
          <cell r="E540">
            <v>3.5393099999999998E-4</v>
          </cell>
          <cell r="F540" t="str">
            <v>Liquid</v>
          </cell>
        </row>
        <row r="541">
          <cell r="D541">
            <v>2</v>
          </cell>
          <cell r="E541">
            <v>1.4994E-2</v>
          </cell>
          <cell r="F541" t="str">
            <v>Liquid</v>
          </cell>
        </row>
        <row r="542">
          <cell r="D542">
            <v>2</v>
          </cell>
          <cell r="E542">
            <v>6.1137659999999996E-3</v>
          </cell>
          <cell r="F542" t="str">
            <v>Liquid</v>
          </cell>
        </row>
        <row r="543">
          <cell r="D543">
            <v>2</v>
          </cell>
          <cell r="E543">
            <v>2.5973160000000001E-3</v>
          </cell>
          <cell r="F543" t="str">
            <v>Liquid</v>
          </cell>
        </row>
        <row r="544">
          <cell r="D544">
            <v>2</v>
          </cell>
          <cell r="E544">
            <v>2.5972690000000001E-3</v>
          </cell>
          <cell r="F544" t="str">
            <v>Liquid</v>
          </cell>
        </row>
        <row r="545">
          <cell r="D545">
            <v>2</v>
          </cell>
          <cell r="E545">
            <v>2.0465980000000002E-3</v>
          </cell>
          <cell r="F545" t="str">
            <v>Liquid</v>
          </cell>
        </row>
        <row r="546">
          <cell r="D546">
            <v>2</v>
          </cell>
          <cell r="E546">
            <v>3.0371679999999998E-3</v>
          </cell>
          <cell r="F546" t="str">
            <v>Liquid</v>
          </cell>
        </row>
        <row r="547">
          <cell r="D547">
            <v>2</v>
          </cell>
          <cell r="E547">
            <v>3.9801719999999999E-2</v>
          </cell>
          <cell r="F547" t="str">
            <v>Liquid</v>
          </cell>
        </row>
        <row r="548">
          <cell r="D548">
            <v>2</v>
          </cell>
          <cell r="E548">
            <v>6.5392560000000002E-3</v>
          </cell>
          <cell r="F548" t="str">
            <v>Liquid</v>
          </cell>
        </row>
        <row r="549">
          <cell r="D549">
            <v>2</v>
          </cell>
          <cell r="E549">
            <v>6.6305950000000004E-3</v>
          </cell>
          <cell r="F549" t="str">
            <v>Liquid</v>
          </cell>
        </row>
        <row r="550">
          <cell r="D550">
            <v>2</v>
          </cell>
          <cell r="E550">
            <v>5.0318280000000003E-3</v>
          </cell>
          <cell r="F550" t="str">
            <v>Liquid</v>
          </cell>
        </row>
        <row r="551">
          <cell r="D551">
            <v>2</v>
          </cell>
          <cell r="E551">
            <v>4.0473169999999999E-4</v>
          </cell>
          <cell r="F551" t="str">
            <v>Liquid</v>
          </cell>
        </row>
        <row r="552">
          <cell r="D552">
            <v>2</v>
          </cell>
          <cell r="E552">
            <v>2.6040849999999999E-3</v>
          </cell>
          <cell r="F552" t="str">
            <v>Liquid</v>
          </cell>
        </row>
        <row r="553">
          <cell r="D553">
            <v>2</v>
          </cell>
          <cell r="E553">
            <v>6.6760270000000002E-3</v>
          </cell>
          <cell r="F553" t="str">
            <v>Liquid</v>
          </cell>
        </row>
        <row r="554">
          <cell r="D554">
            <v>2</v>
          </cell>
          <cell r="E554">
            <v>2.595773E-3</v>
          </cell>
          <cell r="F554" t="str">
            <v>Liquid</v>
          </cell>
        </row>
        <row r="555">
          <cell r="D555">
            <v>2</v>
          </cell>
          <cell r="E555">
            <v>5.1028519999999997E-3</v>
          </cell>
          <cell r="F555" t="str">
            <v>Liquid</v>
          </cell>
        </row>
        <row r="556">
          <cell r="D556">
            <v>2</v>
          </cell>
          <cell r="E556">
            <v>6.9280670000000004E-3</v>
          </cell>
          <cell r="F556" t="str">
            <v>Liquid</v>
          </cell>
        </row>
        <row r="557">
          <cell r="D557">
            <v>2</v>
          </cell>
          <cell r="E557">
            <v>7.7956220000000003E-3</v>
          </cell>
          <cell r="F557" t="str">
            <v>Liquid</v>
          </cell>
        </row>
        <row r="558">
          <cell r="D558">
            <v>2</v>
          </cell>
          <cell r="E558">
            <v>2.596536E-3</v>
          </cell>
          <cell r="F558" t="str">
            <v>Liquid</v>
          </cell>
        </row>
        <row r="559">
          <cell r="D559">
            <v>2</v>
          </cell>
          <cell r="E559">
            <v>2.596489E-3</v>
          </cell>
          <cell r="F559" t="str">
            <v>Liquid</v>
          </cell>
        </row>
        <row r="560">
          <cell r="D560">
            <v>2</v>
          </cell>
          <cell r="E560">
            <v>3.2866269999999999E-3</v>
          </cell>
          <cell r="F560" t="str">
            <v>Liquid</v>
          </cell>
        </row>
        <row r="561">
          <cell r="D561">
            <v>2</v>
          </cell>
          <cell r="E561">
            <v>4.1764099999999998E-2</v>
          </cell>
          <cell r="F561" t="str">
            <v>Liquid</v>
          </cell>
        </row>
        <row r="562">
          <cell r="D562">
            <v>2</v>
          </cell>
          <cell r="E562">
            <v>7.8110419999999998E-3</v>
          </cell>
          <cell r="F562" t="str">
            <v>Liquid</v>
          </cell>
        </row>
        <row r="563">
          <cell r="D563">
            <v>2</v>
          </cell>
          <cell r="E563">
            <v>7.7630269999999996E-3</v>
          </cell>
          <cell r="F563" t="str">
            <v>Liquid</v>
          </cell>
        </row>
        <row r="564">
          <cell r="D564">
            <v>2</v>
          </cell>
          <cell r="E564">
            <v>2.7556260000000002E-4</v>
          </cell>
          <cell r="F564" t="str">
            <v>Liquid</v>
          </cell>
        </row>
        <row r="565">
          <cell r="D565">
            <v>2</v>
          </cell>
          <cell r="E565">
            <v>5.0394330000000003E-3</v>
          </cell>
          <cell r="F565" t="str">
            <v>Liquid</v>
          </cell>
        </row>
        <row r="566">
          <cell r="D566">
            <v>2</v>
          </cell>
          <cell r="E566">
            <v>2.601683E-3</v>
          </cell>
          <cell r="F566" t="str">
            <v>Liquid</v>
          </cell>
        </row>
        <row r="567">
          <cell r="D567">
            <v>2</v>
          </cell>
          <cell r="E567">
            <v>5.6554609999999996E-3</v>
          </cell>
          <cell r="F567" t="str">
            <v>Liquid</v>
          </cell>
        </row>
        <row r="568">
          <cell r="D568">
            <v>2</v>
          </cell>
          <cell r="E568">
            <v>2.5989580000000002E-3</v>
          </cell>
          <cell r="F568" t="str">
            <v>Liquid</v>
          </cell>
        </row>
        <row r="569">
          <cell r="D569">
            <v>2</v>
          </cell>
          <cell r="E569">
            <v>3.847198E-3</v>
          </cell>
          <cell r="F569" t="str">
            <v>Liquid</v>
          </cell>
        </row>
        <row r="570">
          <cell r="D570">
            <v>2</v>
          </cell>
          <cell r="E570">
            <v>6.6953900000000003E-4</v>
          </cell>
          <cell r="F570" t="str">
            <v>Liquid</v>
          </cell>
        </row>
        <row r="571">
          <cell r="D571">
            <v>2</v>
          </cell>
          <cell r="E571">
            <v>1.113923E-2</v>
          </cell>
          <cell r="F571" t="str">
            <v>Liquid</v>
          </cell>
        </row>
        <row r="572">
          <cell r="D572">
            <v>2</v>
          </cell>
          <cell r="E572">
            <v>6.9284719999999998E-3</v>
          </cell>
          <cell r="F572" t="str">
            <v>Liquid</v>
          </cell>
        </row>
        <row r="573">
          <cell r="D573">
            <v>2</v>
          </cell>
          <cell r="E573">
            <v>2.5963520000000001E-3</v>
          </cell>
          <cell r="F573" t="str">
            <v>Liquid</v>
          </cell>
        </row>
        <row r="574">
          <cell r="D574">
            <v>2</v>
          </cell>
          <cell r="E574">
            <v>2.5962839999999999E-3</v>
          </cell>
          <cell r="F574" t="str">
            <v>Liquid</v>
          </cell>
        </row>
        <row r="575">
          <cell r="D575">
            <v>2</v>
          </cell>
          <cell r="E575">
            <v>1.3973639999999999E-3</v>
          </cell>
          <cell r="F575" t="str">
            <v>Liquid</v>
          </cell>
        </row>
        <row r="576">
          <cell r="D576">
            <v>2</v>
          </cell>
          <cell r="E576">
            <v>4.0364659999999998E-3</v>
          </cell>
          <cell r="F576" t="str">
            <v>Liquid</v>
          </cell>
        </row>
        <row r="577">
          <cell r="D577">
            <v>2</v>
          </cell>
          <cell r="E577">
            <v>4.1414600000000003E-2</v>
          </cell>
          <cell r="F577" t="str">
            <v>Liquid</v>
          </cell>
        </row>
        <row r="578">
          <cell r="D578">
            <v>2</v>
          </cell>
          <cell r="E578">
            <v>6.9246689999999996E-3</v>
          </cell>
          <cell r="F578" t="str">
            <v>Liquid</v>
          </cell>
        </row>
        <row r="579">
          <cell r="D579">
            <v>2</v>
          </cell>
          <cell r="E579">
            <v>7.6244090000000004E-3</v>
          </cell>
          <cell r="F579" t="str">
            <v>Liquid</v>
          </cell>
        </row>
        <row r="580">
          <cell r="D580">
            <v>2</v>
          </cell>
          <cell r="E580">
            <v>3.7565489999999999E-4</v>
          </cell>
          <cell r="F580" t="str">
            <v>Liquid</v>
          </cell>
        </row>
        <row r="581">
          <cell r="D581">
            <v>2</v>
          </cell>
          <cell r="E581">
            <v>3.7565489999999999E-4</v>
          </cell>
          <cell r="F581" t="str">
            <v>Liquid</v>
          </cell>
        </row>
        <row r="582">
          <cell r="D582">
            <v>2</v>
          </cell>
          <cell r="E582">
            <v>5.1983400000000005E-4</v>
          </cell>
          <cell r="F582" t="str">
            <v>Liquid</v>
          </cell>
        </row>
        <row r="583">
          <cell r="D583">
            <v>2</v>
          </cell>
          <cell r="E583">
            <v>5.1983400000000005E-4</v>
          </cell>
          <cell r="F583" t="str">
            <v>Liquid</v>
          </cell>
        </row>
        <row r="584">
          <cell r="D584">
            <v>2</v>
          </cell>
          <cell r="E584">
            <v>2.4563860000000001E-3</v>
          </cell>
          <cell r="F584" t="str">
            <v>Liquid</v>
          </cell>
        </row>
        <row r="585">
          <cell r="D585">
            <v>2</v>
          </cell>
          <cell r="E585">
            <v>8.5389790000000004E-3</v>
          </cell>
          <cell r="F585" t="str">
            <v>Liquid</v>
          </cell>
        </row>
        <row r="586">
          <cell r="D586">
            <v>3</v>
          </cell>
          <cell r="E586">
            <v>5.0378560000000003E-3</v>
          </cell>
          <cell r="F586" t="str">
            <v>Liquid</v>
          </cell>
        </row>
        <row r="587">
          <cell r="D587">
            <v>3</v>
          </cell>
          <cell r="E587">
            <v>7.7964779999999999E-3</v>
          </cell>
          <cell r="F587" t="str">
            <v>Liquid</v>
          </cell>
        </row>
        <row r="588">
          <cell r="D588">
            <v>3</v>
          </cell>
          <cell r="E588">
            <v>5.1915379999999999E-3</v>
          </cell>
          <cell r="F588" t="str">
            <v>Liquid</v>
          </cell>
        </row>
        <row r="589">
          <cell r="D589">
            <v>3</v>
          </cell>
          <cell r="E589">
            <v>3.6576080000000001E-3</v>
          </cell>
          <cell r="F589" t="str">
            <v>Liquid</v>
          </cell>
        </row>
        <row r="590">
          <cell r="D590">
            <v>3</v>
          </cell>
          <cell r="E590">
            <v>2.597317E-3</v>
          </cell>
          <cell r="F590" t="str">
            <v>Liquid</v>
          </cell>
        </row>
        <row r="591">
          <cell r="D591">
            <v>3</v>
          </cell>
          <cell r="E591">
            <v>2.3971800000000001E-2</v>
          </cell>
          <cell r="F591" t="str">
            <v>Liquid</v>
          </cell>
        </row>
        <row r="592">
          <cell r="D592">
            <v>3</v>
          </cell>
          <cell r="E592">
            <v>5.0318289999999998E-3</v>
          </cell>
          <cell r="F592" t="str">
            <v>Liquid</v>
          </cell>
        </row>
        <row r="593">
          <cell r="D593">
            <v>3</v>
          </cell>
          <cell r="E593">
            <v>3.4653219999999998E-3</v>
          </cell>
          <cell r="F593" t="str">
            <v>Liquid</v>
          </cell>
        </row>
        <row r="594">
          <cell r="D594">
            <v>3</v>
          </cell>
          <cell r="E594">
            <v>5.1916599999999999E-3</v>
          </cell>
          <cell r="F594" t="str">
            <v>Liquid</v>
          </cell>
        </row>
        <row r="595">
          <cell r="D595">
            <v>3</v>
          </cell>
          <cell r="E595">
            <v>5.3449270000000002E-3</v>
          </cell>
          <cell r="F595" t="str">
            <v>Liquid</v>
          </cell>
        </row>
        <row r="596">
          <cell r="D596">
            <v>3</v>
          </cell>
          <cell r="E596">
            <v>2.5965369999999999E-3</v>
          </cell>
          <cell r="F596" t="str">
            <v>Liquid</v>
          </cell>
        </row>
        <row r="597">
          <cell r="D597">
            <v>3</v>
          </cell>
          <cell r="E597">
            <v>2.4600730000000001E-2</v>
          </cell>
          <cell r="F597" t="str">
            <v>Liquid</v>
          </cell>
        </row>
        <row r="598">
          <cell r="D598">
            <v>3</v>
          </cell>
          <cell r="E598">
            <v>5.0394330000000003E-3</v>
          </cell>
          <cell r="F598" t="str">
            <v>Liquid</v>
          </cell>
        </row>
        <row r="599">
          <cell r="D599">
            <v>3</v>
          </cell>
          <cell r="E599">
            <v>3.4621460000000001E-3</v>
          </cell>
          <cell r="F599" t="str">
            <v>Liquid</v>
          </cell>
        </row>
        <row r="600">
          <cell r="D600">
            <v>3</v>
          </cell>
          <cell r="E600">
            <v>5.198009E-3</v>
          </cell>
          <cell r="F600" t="str">
            <v>Liquid</v>
          </cell>
        </row>
        <row r="601">
          <cell r="D601">
            <v>3</v>
          </cell>
          <cell r="E601">
            <v>4.5300380000000001E-3</v>
          </cell>
          <cell r="F601" t="str">
            <v>Liquid</v>
          </cell>
        </row>
        <row r="602">
          <cell r="D602">
            <v>3</v>
          </cell>
          <cell r="E602">
            <v>2.5963520000000001E-3</v>
          </cell>
          <cell r="F602" t="str">
            <v>Liquid</v>
          </cell>
        </row>
        <row r="603">
          <cell r="D603">
            <v>3</v>
          </cell>
          <cell r="E603">
            <v>2.3691739999999999E-2</v>
          </cell>
          <cell r="F603" t="str">
            <v>Liquid</v>
          </cell>
        </row>
        <row r="604">
          <cell r="D604">
            <v>3</v>
          </cell>
          <cell r="E604">
            <v>4.3956760000000003E-3</v>
          </cell>
          <cell r="F604" t="str">
            <v>Liquid</v>
          </cell>
        </row>
        <row r="605">
          <cell r="D605">
            <v>3</v>
          </cell>
          <cell r="E605">
            <v>4.3956760000000003E-3</v>
          </cell>
          <cell r="F605" t="str">
            <v>Liquid</v>
          </cell>
        </row>
        <row r="606">
          <cell r="D606">
            <v>3</v>
          </cell>
          <cell r="E606">
            <v>1.226492E-2</v>
          </cell>
          <cell r="F606" t="str">
            <v>Liquid</v>
          </cell>
        </row>
        <row r="607">
          <cell r="D607">
            <v>4</v>
          </cell>
          <cell r="E607">
            <v>1.007575E-2</v>
          </cell>
          <cell r="F607" t="str">
            <v>Liquid</v>
          </cell>
        </row>
        <row r="608">
          <cell r="D608">
            <v>4</v>
          </cell>
          <cell r="E608">
            <v>2.4843819999999998E-3</v>
          </cell>
          <cell r="F608" t="str">
            <v>Liquid</v>
          </cell>
        </row>
        <row r="609">
          <cell r="D609">
            <v>4</v>
          </cell>
          <cell r="E609">
            <v>1.006371E-2</v>
          </cell>
          <cell r="F609" t="str">
            <v>Liquid</v>
          </cell>
        </row>
        <row r="610">
          <cell r="D610">
            <v>4</v>
          </cell>
          <cell r="E610">
            <v>2.4925120000000001E-3</v>
          </cell>
          <cell r="F610" t="str">
            <v>Liquid</v>
          </cell>
        </row>
        <row r="611">
          <cell r="D611">
            <v>4</v>
          </cell>
          <cell r="E611">
            <v>1.007893E-2</v>
          </cell>
          <cell r="F611" t="str">
            <v>Liquid</v>
          </cell>
        </row>
        <row r="612">
          <cell r="D612">
            <v>4</v>
          </cell>
          <cell r="E612">
            <v>4.9257609999999999E-3</v>
          </cell>
          <cell r="F612" t="str">
            <v>Liquid</v>
          </cell>
        </row>
        <row r="613">
          <cell r="D613">
            <v>5</v>
          </cell>
          <cell r="E613">
            <v>3.4713399999999998E-2</v>
          </cell>
          <cell r="F613" t="str">
            <v>Liquid</v>
          </cell>
        </row>
        <row r="614">
          <cell r="D614">
            <v>5</v>
          </cell>
          <cell r="E614">
            <v>1.2273559999999999E-2</v>
          </cell>
          <cell r="F614" t="str">
            <v>Liquid</v>
          </cell>
        </row>
        <row r="615">
          <cell r="D615">
            <v>5</v>
          </cell>
          <cell r="E615">
            <v>1.226381E-2</v>
          </cell>
          <cell r="F615" t="str">
            <v>Liquid</v>
          </cell>
        </row>
        <row r="616">
          <cell r="D616">
            <v>5</v>
          </cell>
          <cell r="E616">
            <v>1.227817E-2</v>
          </cell>
          <cell r="F616" t="str">
            <v>Liquid</v>
          </cell>
        </row>
        <row r="617">
          <cell r="D617">
            <v>5</v>
          </cell>
          <cell r="E617">
            <v>8.2726339999999995E-2</v>
          </cell>
          <cell r="F617" t="str">
            <v>Liquid</v>
          </cell>
        </row>
        <row r="618">
          <cell r="D618">
            <v>6</v>
          </cell>
          <cell r="E618">
            <v>3.7593190000000001E-3</v>
          </cell>
          <cell r="F618" t="str">
            <v>Liquid</v>
          </cell>
        </row>
        <row r="619">
          <cell r="D619">
            <v>6</v>
          </cell>
          <cell r="E619">
            <v>5.9463820000000005E-4</v>
          </cell>
          <cell r="F619" t="str">
            <v>Liquid</v>
          </cell>
        </row>
        <row r="620">
          <cell r="D620">
            <v>6</v>
          </cell>
          <cell r="E620">
            <v>1.3982130000000001E-2</v>
          </cell>
          <cell r="F620" t="str">
            <v>Liquid</v>
          </cell>
        </row>
        <row r="621">
          <cell r="D621">
            <v>6</v>
          </cell>
          <cell r="E621">
            <v>4.1342280000000002E-3</v>
          </cell>
          <cell r="F621" t="str">
            <v>Liquid</v>
          </cell>
        </row>
        <row r="622">
          <cell r="D622">
            <v>6</v>
          </cell>
          <cell r="E622">
            <v>1.2259630000000001E-2</v>
          </cell>
          <cell r="F622" t="str">
            <v>Liquid</v>
          </cell>
        </row>
        <row r="623">
          <cell r="D623">
            <v>6</v>
          </cell>
          <cell r="E623">
            <v>4.1359150000000004E-3</v>
          </cell>
          <cell r="F623" t="str">
            <v>Liquid</v>
          </cell>
        </row>
        <row r="624">
          <cell r="D624">
            <v>6</v>
          </cell>
          <cell r="E624">
            <v>8.1252200000000007E-3</v>
          </cell>
          <cell r="F624" t="str">
            <v>Liquid</v>
          </cell>
        </row>
        <row r="625">
          <cell r="D625">
            <v>6</v>
          </cell>
          <cell r="E625">
            <v>8.1252200000000007E-3</v>
          </cell>
          <cell r="F625" t="str">
            <v>Liquid</v>
          </cell>
        </row>
        <row r="626">
          <cell r="D626">
            <v>6</v>
          </cell>
          <cell r="E626">
            <v>3.4151250000000002E-3</v>
          </cell>
          <cell r="F626" t="str">
            <v>Liquid</v>
          </cell>
        </row>
        <row r="627">
          <cell r="D627">
            <v>6</v>
          </cell>
          <cell r="E627">
            <v>1.1167250000000001E-4</v>
          </cell>
          <cell r="F627" t="str">
            <v>Liquid</v>
          </cell>
        </row>
        <row r="628">
          <cell r="D628">
            <v>6</v>
          </cell>
          <cell r="E628">
            <v>2.2355E-2</v>
          </cell>
          <cell r="F628" t="str">
            <v>Liquid</v>
          </cell>
        </row>
        <row r="629">
          <cell r="D629">
            <v>0</v>
          </cell>
          <cell r="E629">
            <v>5.6013199999999999E-3</v>
          </cell>
          <cell r="F629" t="str">
            <v>Liquid</v>
          </cell>
        </row>
        <row r="630">
          <cell r="D630">
            <v>0</v>
          </cell>
          <cell r="E630">
            <v>0.24756410000000001</v>
          </cell>
          <cell r="F630" t="str">
            <v>Liquid</v>
          </cell>
        </row>
        <row r="631">
          <cell r="D631">
            <v>1</v>
          </cell>
          <cell r="E631">
            <v>5.6458209999999997E-3</v>
          </cell>
          <cell r="F631" t="str">
            <v>Liquid</v>
          </cell>
        </row>
        <row r="632">
          <cell r="D632">
            <v>1</v>
          </cell>
          <cell r="E632">
            <v>3.1723139999999999E-3</v>
          </cell>
          <cell r="F632" t="str">
            <v>Liquid</v>
          </cell>
        </row>
        <row r="633">
          <cell r="D633">
            <v>1</v>
          </cell>
          <cell r="E633">
            <v>6.3409069999999998E-3</v>
          </cell>
          <cell r="F633" t="str">
            <v>Liquid</v>
          </cell>
        </row>
        <row r="634">
          <cell r="D634">
            <v>1</v>
          </cell>
          <cell r="E634">
            <v>4.2533689999999999E-4</v>
          </cell>
          <cell r="F634" t="str">
            <v>Liquid</v>
          </cell>
        </row>
        <row r="635">
          <cell r="D635">
            <v>2</v>
          </cell>
          <cell r="E635">
            <v>7.7219129999999997E-4</v>
          </cell>
          <cell r="F635" t="str">
            <v>Liquid</v>
          </cell>
        </row>
        <row r="636">
          <cell r="D636">
            <v>2</v>
          </cell>
          <cell r="E636">
            <v>2.8229459999999998E-3</v>
          </cell>
          <cell r="F636" t="str">
            <v>Liquid</v>
          </cell>
        </row>
        <row r="637">
          <cell r="D637">
            <v>2</v>
          </cell>
          <cell r="E637">
            <v>7.002775E-2</v>
          </cell>
          <cell r="F637" t="str">
            <v>Liquid</v>
          </cell>
        </row>
        <row r="638">
          <cell r="D638">
            <v>3</v>
          </cell>
          <cell r="E638">
            <v>3.226474E-3</v>
          </cell>
          <cell r="F638" t="str">
            <v>Liquid</v>
          </cell>
        </row>
        <row r="639">
          <cell r="D639">
            <v>3</v>
          </cell>
          <cell r="E639">
            <v>3.3440690000000002E-2</v>
          </cell>
          <cell r="F639" t="str">
            <v>Liquid</v>
          </cell>
        </row>
        <row r="640">
          <cell r="D640">
            <v>3</v>
          </cell>
          <cell r="E640">
            <v>2.8229459999999998E-3</v>
          </cell>
          <cell r="F640" t="str">
            <v>Liquid</v>
          </cell>
        </row>
        <row r="641">
          <cell r="D641">
            <v>3</v>
          </cell>
          <cell r="E641">
            <v>9.5268579999999992E-3</v>
          </cell>
          <cell r="F641" t="str">
            <v>Liquid</v>
          </cell>
        </row>
        <row r="642">
          <cell r="D642">
            <v>3</v>
          </cell>
          <cell r="E642">
            <v>1.268451E-2</v>
          </cell>
          <cell r="F642" t="str">
            <v>Liquid</v>
          </cell>
        </row>
        <row r="643">
          <cell r="D643">
            <v>3</v>
          </cell>
          <cell r="E643">
            <v>6.3450570000000003E-3</v>
          </cell>
          <cell r="F643" t="str">
            <v>Liquid</v>
          </cell>
        </row>
        <row r="644">
          <cell r="D644">
            <v>3</v>
          </cell>
          <cell r="E644">
            <v>3.1252649999999999E-3</v>
          </cell>
          <cell r="F644" t="str">
            <v>Liquid</v>
          </cell>
        </row>
        <row r="645">
          <cell r="D645">
            <v>3</v>
          </cell>
          <cell r="E645">
            <v>1.654336E-2</v>
          </cell>
          <cell r="F645" t="str">
            <v>Liquid</v>
          </cell>
        </row>
        <row r="646">
          <cell r="D646">
            <v>4</v>
          </cell>
          <cell r="E646">
            <v>1.58876E-3</v>
          </cell>
          <cell r="F646" t="str">
            <v>Liquid</v>
          </cell>
        </row>
        <row r="647">
          <cell r="D647">
            <v>4</v>
          </cell>
          <cell r="E647">
            <v>3.3278800000000001E-3</v>
          </cell>
          <cell r="F647" t="str">
            <v>Liquid</v>
          </cell>
        </row>
        <row r="648">
          <cell r="D648">
            <v>4</v>
          </cell>
          <cell r="E648">
            <v>2.8229010000000001E-3</v>
          </cell>
          <cell r="F648" t="str">
            <v>Liquid</v>
          </cell>
        </row>
        <row r="649">
          <cell r="D649">
            <v>4</v>
          </cell>
          <cell r="E649">
            <v>2.8228720000000001E-3</v>
          </cell>
          <cell r="F649" t="str">
            <v>Liquid</v>
          </cell>
        </row>
        <row r="650">
          <cell r="D650">
            <v>4</v>
          </cell>
          <cell r="E650">
            <v>3.550681E-3</v>
          </cell>
          <cell r="F650" t="str">
            <v>Liquid</v>
          </cell>
        </row>
        <row r="651">
          <cell r="D651">
            <v>4</v>
          </cell>
          <cell r="E651">
            <v>2.7614520000000002E-3</v>
          </cell>
          <cell r="F651" t="str">
            <v>Liquid</v>
          </cell>
        </row>
        <row r="652">
          <cell r="D652">
            <v>4</v>
          </cell>
          <cell r="E652">
            <v>2.1979399999999998E-3</v>
          </cell>
          <cell r="F652" t="str">
            <v>Liquid</v>
          </cell>
        </row>
        <row r="653">
          <cell r="D653">
            <v>5</v>
          </cell>
          <cell r="E653">
            <v>4.9748359999999998E-3</v>
          </cell>
          <cell r="F653" t="str">
            <v>Liquid</v>
          </cell>
        </row>
        <row r="654">
          <cell r="D654">
            <v>5</v>
          </cell>
          <cell r="E654">
            <v>6.7062760000000002E-4</v>
          </cell>
          <cell r="F654" t="str">
            <v>Liquid</v>
          </cell>
        </row>
        <row r="655">
          <cell r="D655">
            <v>5</v>
          </cell>
          <cell r="E655">
            <v>4.9102979999999996E-3</v>
          </cell>
          <cell r="F655" t="str">
            <v>Liquid</v>
          </cell>
        </row>
        <row r="656">
          <cell r="D656">
            <v>5</v>
          </cell>
          <cell r="E656">
            <v>3.2616440000000002E-3</v>
          </cell>
          <cell r="F656" t="str">
            <v>Liquid</v>
          </cell>
        </row>
        <row r="657">
          <cell r="D657">
            <v>5</v>
          </cell>
          <cell r="E657">
            <v>3.5506029999999998E-3</v>
          </cell>
          <cell r="F657" t="str">
            <v>Liquid</v>
          </cell>
        </row>
        <row r="658">
          <cell r="D658">
            <v>5</v>
          </cell>
          <cell r="E658">
            <v>5.0132080000000002E-2</v>
          </cell>
          <cell r="F658" t="str">
            <v>Liquid</v>
          </cell>
        </row>
        <row r="659">
          <cell r="D659">
            <v>5</v>
          </cell>
          <cell r="E659">
            <v>5.1454609999999998E-4</v>
          </cell>
          <cell r="F659" t="str">
            <v>Liquid</v>
          </cell>
        </row>
        <row r="660">
          <cell r="D660">
            <v>5</v>
          </cell>
          <cell r="E660">
            <v>1.6624740000000001E-4</v>
          </cell>
          <cell r="F660" t="str">
            <v>Liquid</v>
          </cell>
        </row>
        <row r="661">
          <cell r="D661">
            <v>5</v>
          </cell>
          <cell r="E661">
            <v>8.7862770000000003E-3</v>
          </cell>
          <cell r="F661" t="str">
            <v>Liquid</v>
          </cell>
        </row>
        <row r="662">
          <cell r="D662">
            <v>5</v>
          </cell>
          <cell r="E662">
            <v>2.7414900000000001E-3</v>
          </cell>
          <cell r="F662" t="str">
            <v>Liquid</v>
          </cell>
        </row>
        <row r="663">
          <cell r="D663">
            <v>5</v>
          </cell>
          <cell r="E663">
            <v>4.275347E-4</v>
          </cell>
          <cell r="F663" t="str">
            <v>Liquid</v>
          </cell>
        </row>
        <row r="664">
          <cell r="D664">
            <v>5</v>
          </cell>
          <cell r="E664">
            <v>2.2436989999999999E-4</v>
          </cell>
          <cell r="F664" t="str">
            <v>Liquid</v>
          </cell>
        </row>
        <row r="665">
          <cell r="D665">
            <v>5</v>
          </cell>
          <cell r="E665">
            <v>6.2751319999999999E-2</v>
          </cell>
          <cell r="F665" t="str">
            <v>Liquid</v>
          </cell>
        </row>
        <row r="666">
          <cell r="D666">
            <v>6</v>
          </cell>
          <cell r="E666">
            <v>2.4874419999999999E-3</v>
          </cell>
          <cell r="F666" t="str">
            <v>Liquid</v>
          </cell>
        </row>
        <row r="667">
          <cell r="D667">
            <v>6</v>
          </cell>
          <cell r="E667">
            <v>7.3555919999999996E-4</v>
          </cell>
          <cell r="F667" t="str">
            <v>Liquid</v>
          </cell>
        </row>
        <row r="668">
          <cell r="D668">
            <v>6</v>
          </cell>
          <cell r="E668">
            <v>4.9871079999999996E-3</v>
          </cell>
          <cell r="F668" t="str">
            <v>Liquid</v>
          </cell>
        </row>
        <row r="669">
          <cell r="D669">
            <v>6</v>
          </cell>
          <cell r="E669">
            <v>4.0690860000000002E-2</v>
          </cell>
          <cell r="F669" t="str">
            <v>Liquid</v>
          </cell>
        </row>
        <row r="670">
          <cell r="D670">
            <v>6</v>
          </cell>
          <cell r="E670">
            <v>0.24333930000000001</v>
          </cell>
          <cell r="F670" t="str">
            <v>Liquid</v>
          </cell>
        </row>
        <row r="671">
          <cell r="D671">
            <v>0</v>
          </cell>
          <cell r="E671">
            <v>5.266331E-3</v>
          </cell>
          <cell r="F671" t="str">
            <v>Liquid</v>
          </cell>
        </row>
        <row r="672">
          <cell r="D672">
            <v>0</v>
          </cell>
          <cell r="E672">
            <v>5.2492550000000004E-3</v>
          </cell>
          <cell r="F672" t="str">
            <v>Liquid</v>
          </cell>
        </row>
        <row r="673">
          <cell r="D673">
            <v>1</v>
          </cell>
          <cell r="E673">
            <v>2.6332109999999999E-3</v>
          </cell>
          <cell r="F673" t="str">
            <v>Liquid</v>
          </cell>
        </row>
        <row r="674">
          <cell r="D674">
            <v>1</v>
          </cell>
          <cell r="E674">
            <v>6.418768E-3</v>
          </cell>
          <cell r="F674" t="str">
            <v>Liquid</v>
          </cell>
        </row>
        <row r="675">
          <cell r="D675">
            <v>1</v>
          </cell>
          <cell r="E675">
            <v>2.6246500000000001E-3</v>
          </cell>
          <cell r="F675" t="str">
            <v>Liquid</v>
          </cell>
        </row>
        <row r="676">
          <cell r="D676">
            <v>1</v>
          </cell>
          <cell r="E676">
            <v>5.483814E-3</v>
          </cell>
          <cell r="F676" t="str">
            <v>Liquid</v>
          </cell>
        </row>
        <row r="677">
          <cell r="D677">
            <v>2</v>
          </cell>
          <cell r="E677">
            <v>3.7373240000000002E-4</v>
          </cell>
          <cell r="F677" t="str">
            <v>Liquid</v>
          </cell>
        </row>
        <row r="678">
          <cell r="D678">
            <v>2</v>
          </cell>
          <cell r="E678">
            <v>6.1952820000000001E-4</v>
          </cell>
          <cell r="F678" t="str">
            <v>Liquid</v>
          </cell>
        </row>
        <row r="679">
          <cell r="D679">
            <v>2</v>
          </cell>
          <cell r="E679">
            <v>3.1786660000000002E-4</v>
          </cell>
          <cell r="F679" t="str">
            <v>Liquid</v>
          </cell>
        </row>
        <row r="680">
          <cell r="D680">
            <v>2</v>
          </cell>
          <cell r="E680">
            <v>9.5259290000000003E-4</v>
          </cell>
          <cell r="F680" t="str">
            <v>Liquid</v>
          </cell>
        </row>
        <row r="681">
          <cell r="D681">
            <v>2</v>
          </cell>
          <cell r="E681">
            <v>1.2669630000000001E-3</v>
          </cell>
          <cell r="F681" t="str">
            <v>Liquid</v>
          </cell>
        </row>
        <row r="682">
          <cell r="D682">
            <v>3</v>
          </cell>
          <cell r="E682">
            <v>5.434232E-2</v>
          </cell>
          <cell r="F682" t="str">
            <v>Liquid</v>
          </cell>
        </row>
        <row r="683">
          <cell r="D683">
            <v>3</v>
          </cell>
          <cell r="E683">
            <v>7.1733379999999996E-3</v>
          </cell>
          <cell r="F683" t="str">
            <v>Liquid</v>
          </cell>
        </row>
        <row r="684">
          <cell r="D684">
            <v>3</v>
          </cell>
          <cell r="E684">
            <v>9.3894700000000005E-3</v>
          </cell>
          <cell r="F684" t="str">
            <v>Liquid</v>
          </cell>
        </row>
        <row r="685">
          <cell r="D685">
            <v>3</v>
          </cell>
          <cell r="E685">
            <v>6.2183500000000001E-3</v>
          </cell>
          <cell r="F685" t="str">
            <v>Liquid</v>
          </cell>
        </row>
        <row r="686">
          <cell r="D686">
            <v>3</v>
          </cell>
          <cell r="E686">
            <v>4.1182160000000001E-3</v>
          </cell>
          <cell r="F686" t="str">
            <v>Liquid</v>
          </cell>
        </row>
        <row r="687">
          <cell r="D687">
            <v>3</v>
          </cell>
          <cell r="E687">
            <v>3.2094609999999998E-3</v>
          </cell>
          <cell r="F687" t="str">
            <v>Liquid</v>
          </cell>
        </row>
        <row r="688">
          <cell r="D688">
            <v>3</v>
          </cell>
          <cell r="E688">
            <v>1.5632739999999999E-3</v>
          </cell>
          <cell r="F688" t="str">
            <v>Liquid</v>
          </cell>
        </row>
        <row r="689">
          <cell r="D689">
            <v>3</v>
          </cell>
          <cell r="E689">
            <v>5.4022009999999997E-3</v>
          </cell>
          <cell r="F689" t="str">
            <v>Liquid</v>
          </cell>
        </row>
        <row r="690">
          <cell r="D690">
            <v>3</v>
          </cell>
          <cell r="E690">
            <v>1.2211609999999999E-3</v>
          </cell>
          <cell r="F690" t="str">
            <v>Liquid</v>
          </cell>
        </row>
        <row r="691">
          <cell r="D691">
            <v>3</v>
          </cell>
          <cell r="E691">
            <v>3.2181839999999998E-3</v>
          </cell>
          <cell r="F691" t="str">
            <v>Liquid</v>
          </cell>
        </row>
        <row r="692">
          <cell r="D692">
            <v>3</v>
          </cell>
          <cell r="E692">
            <v>4.3638249999999998E-4</v>
          </cell>
          <cell r="F692" t="str">
            <v>Liquid</v>
          </cell>
        </row>
        <row r="693">
          <cell r="D693">
            <v>4</v>
          </cell>
          <cell r="E693">
            <v>0.34554309999999999</v>
          </cell>
          <cell r="F693" t="str">
            <v>Liquid</v>
          </cell>
        </row>
        <row r="694">
          <cell r="D694">
            <v>4</v>
          </cell>
          <cell r="E694">
            <v>2.9640150000000001E-2</v>
          </cell>
          <cell r="F694" t="str">
            <v>Liquid</v>
          </cell>
        </row>
        <row r="695">
          <cell r="D695">
            <v>4</v>
          </cell>
          <cell r="E695">
            <v>8.8692770000000001E-3</v>
          </cell>
          <cell r="F695" t="str">
            <v>Liquid</v>
          </cell>
        </row>
        <row r="696">
          <cell r="D696">
            <v>4</v>
          </cell>
          <cell r="E696">
            <v>1.7654420000000001E-2</v>
          </cell>
          <cell r="F696" t="str">
            <v>Liquid</v>
          </cell>
        </row>
        <row r="697">
          <cell r="D697">
            <v>4</v>
          </cell>
          <cell r="E697">
            <v>3.3075230000000001E-3</v>
          </cell>
          <cell r="F697" t="str">
            <v>Liquid</v>
          </cell>
        </row>
        <row r="698">
          <cell r="D698">
            <v>4</v>
          </cell>
          <cell r="E698">
            <v>9.9183410000000007E-3</v>
          </cell>
          <cell r="F698" t="str">
            <v>Liquid</v>
          </cell>
        </row>
        <row r="699">
          <cell r="D699">
            <v>4</v>
          </cell>
          <cell r="E699">
            <v>5.659252E-3</v>
          </cell>
          <cell r="F699" t="str">
            <v>Liquid</v>
          </cell>
        </row>
        <row r="700">
          <cell r="D700">
            <v>4</v>
          </cell>
          <cell r="E700">
            <v>9.4109310000000009E-3</v>
          </cell>
          <cell r="F700" t="str">
            <v>Liquid</v>
          </cell>
        </row>
        <row r="701">
          <cell r="D701">
            <v>4</v>
          </cell>
          <cell r="E701">
            <v>3.124787E-3</v>
          </cell>
          <cell r="F701" t="str">
            <v>Liquid</v>
          </cell>
        </row>
        <row r="702">
          <cell r="D702">
            <v>4</v>
          </cell>
          <cell r="E702">
            <v>9.3743590000000005E-3</v>
          </cell>
          <cell r="F702" t="str">
            <v>Liquid</v>
          </cell>
        </row>
        <row r="703">
          <cell r="D703">
            <v>4</v>
          </cell>
          <cell r="E703">
            <v>4.9451989999999999E-3</v>
          </cell>
          <cell r="F703" t="str">
            <v>Liquid</v>
          </cell>
        </row>
        <row r="704">
          <cell r="D704">
            <v>4</v>
          </cell>
          <cell r="E704">
            <v>3.2094599999999999E-3</v>
          </cell>
          <cell r="F704" t="str">
            <v>Liquid</v>
          </cell>
        </row>
        <row r="705">
          <cell r="D705">
            <v>4</v>
          </cell>
          <cell r="E705">
            <v>1.6060109999999999E-2</v>
          </cell>
          <cell r="F705" t="str">
            <v>Liquid</v>
          </cell>
        </row>
        <row r="706">
          <cell r="D706">
            <v>4</v>
          </cell>
          <cell r="E706">
            <v>6.6447679999999995E-4</v>
          </cell>
          <cell r="F706" t="str">
            <v>Liquid</v>
          </cell>
        </row>
        <row r="707">
          <cell r="D707">
            <v>4</v>
          </cell>
          <cell r="E707">
            <v>5.0837679999999998E-3</v>
          </cell>
          <cell r="F707" t="str">
            <v>Liquid</v>
          </cell>
        </row>
        <row r="708">
          <cell r="D708">
            <v>4</v>
          </cell>
          <cell r="E708">
            <v>3.1257049999999999E-3</v>
          </cell>
          <cell r="F708" t="str">
            <v>Liquid</v>
          </cell>
        </row>
        <row r="709">
          <cell r="D709">
            <v>4</v>
          </cell>
          <cell r="E709">
            <v>9.3771259999999995E-3</v>
          </cell>
          <cell r="F709" t="str">
            <v>Liquid</v>
          </cell>
        </row>
        <row r="710">
          <cell r="D710">
            <v>4</v>
          </cell>
          <cell r="E710">
            <v>5.5364510000000004E-3</v>
          </cell>
          <cell r="F710" t="str">
            <v>Liquid</v>
          </cell>
        </row>
        <row r="711">
          <cell r="D711">
            <v>4</v>
          </cell>
          <cell r="E711">
            <v>3.2182199999999999E-3</v>
          </cell>
          <cell r="F711" t="str">
            <v>Liquid</v>
          </cell>
        </row>
        <row r="712">
          <cell r="D712">
            <v>4</v>
          </cell>
          <cell r="E712">
            <v>1.4949870000000001E-2</v>
          </cell>
          <cell r="F712" t="str">
            <v>Liquid</v>
          </cell>
        </row>
        <row r="713">
          <cell r="D713">
            <v>5</v>
          </cell>
          <cell r="E713">
            <v>2.4578769999999998E-3</v>
          </cell>
          <cell r="F713" t="str">
            <v>Liquid</v>
          </cell>
        </row>
        <row r="714">
          <cell r="D714">
            <v>5</v>
          </cell>
          <cell r="E714">
            <v>4.3112810000000001E-3</v>
          </cell>
          <cell r="F714" t="str">
            <v>Liquid</v>
          </cell>
        </row>
        <row r="715">
          <cell r="D715">
            <v>5</v>
          </cell>
          <cell r="E715">
            <v>2.6171060000000001E-3</v>
          </cell>
          <cell r="F715" t="str">
            <v>Liquid</v>
          </cell>
        </row>
        <row r="716">
          <cell r="D716">
            <v>5</v>
          </cell>
          <cell r="E716">
            <v>2.6055840000000002E-3</v>
          </cell>
          <cell r="F716" t="str">
            <v>Liquid</v>
          </cell>
        </row>
        <row r="717">
          <cell r="D717">
            <v>5</v>
          </cell>
          <cell r="E717">
            <v>2.0563489999999999E-3</v>
          </cell>
          <cell r="F717" t="str">
            <v>Liquid</v>
          </cell>
        </row>
        <row r="718">
          <cell r="D718">
            <v>5</v>
          </cell>
          <cell r="E718">
            <v>3.2684020000000001E-3</v>
          </cell>
          <cell r="F718" t="str">
            <v>Liquid</v>
          </cell>
        </row>
        <row r="719">
          <cell r="D719">
            <v>5</v>
          </cell>
          <cell r="E719">
            <v>2.39884E-2</v>
          </cell>
          <cell r="F719" t="str">
            <v>Liquid</v>
          </cell>
        </row>
        <row r="720">
          <cell r="D720">
            <v>5</v>
          </cell>
          <cell r="E720">
            <v>3.9443239999999997E-2</v>
          </cell>
          <cell r="F720" t="str">
            <v>Liquid</v>
          </cell>
        </row>
        <row r="721">
          <cell r="D721">
            <v>5</v>
          </cell>
          <cell r="E721">
            <v>3.26838E-3</v>
          </cell>
          <cell r="F721" t="str">
            <v>Liquid</v>
          </cell>
        </row>
        <row r="722">
          <cell r="D722">
            <v>5</v>
          </cell>
          <cell r="E722">
            <v>1.610619E-3</v>
          </cell>
          <cell r="F722" t="str">
            <v>Liquid</v>
          </cell>
        </row>
        <row r="723">
          <cell r="D723">
            <v>5</v>
          </cell>
          <cell r="E723">
            <v>2.5422839999999999E-2</v>
          </cell>
          <cell r="F723" t="str">
            <v>Liquid</v>
          </cell>
        </row>
        <row r="724">
          <cell r="D724">
            <v>5</v>
          </cell>
          <cell r="E724">
            <v>6.5874530000000001E-3</v>
          </cell>
          <cell r="F724" t="str">
            <v>Liquid</v>
          </cell>
        </row>
        <row r="725">
          <cell r="D725">
            <v>5</v>
          </cell>
          <cell r="E725">
            <v>3.1967440000000001E-3</v>
          </cell>
          <cell r="F725" t="str">
            <v>Liquid</v>
          </cell>
        </row>
        <row r="726">
          <cell r="D726">
            <v>5</v>
          </cell>
          <cell r="E726">
            <v>2.4283369999999999E-4</v>
          </cell>
          <cell r="F726" t="str">
            <v>Liquid</v>
          </cell>
        </row>
        <row r="727">
          <cell r="D727">
            <v>5</v>
          </cell>
          <cell r="E727">
            <v>0.27673829999999999</v>
          </cell>
          <cell r="F727" t="str">
            <v>Liquid</v>
          </cell>
        </row>
        <row r="728">
          <cell r="D728">
            <v>5</v>
          </cell>
          <cell r="E728">
            <v>3.9360880000000001E-2</v>
          </cell>
          <cell r="F728" t="str">
            <v>Liquid</v>
          </cell>
        </row>
        <row r="729">
          <cell r="D729">
            <v>5</v>
          </cell>
          <cell r="E729">
            <v>3.3966930000000001E-3</v>
          </cell>
          <cell r="F729" t="str">
            <v>Liquid</v>
          </cell>
        </row>
        <row r="730">
          <cell r="D730">
            <v>5</v>
          </cell>
          <cell r="E730">
            <v>5.0737300000000003E-3</v>
          </cell>
          <cell r="F730" t="str">
            <v>Liquid</v>
          </cell>
        </row>
        <row r="731">
          <cell r="D731">
            <v>5</v>
          </cell>
          <cell r="E731">
            <v>3.1615160000000001E-3</v>
          </cell>
          <cell r="F731" t="str">
            <v>Liquid</v>
          </cell>
        </row>
        <row r="732">
          <cell r="D732">
            <v>5</v>
          </cell>
          <cell r="E732">
            <v>2.2310449999999999E-2</v>
          </cell>
          <cell r="F732" t="str">
            <v>Liquid</v>
          </cell>
        </row>
        <row r="733">
          <cell r="D733">
            <v>5</v>
          </cell>
          <cell r="E733">
            <v>2.63328E-3</v>
          </cell>
          <cell r="F733" t="str">
            <v>Liquid</v>
          </cell>
        </row>
        <row r="734">
          <cell r="D734">
            <v>5</v>
          </cell>
          <cell r="E734">
            <v>1.90533E-3</v>
          </cell>
          <cell r="F734" t="str">
            <v>Liquid</v>
          </cell>
        </row>
        <row r="735">
          <cell r="D735">
            <v>5</v>
          </cell>
          <cell r="E735">
            <v>6.2739479999999997E-3</v>
          </cell>
          <cell r="F735" t="str">
            <v>Liquid</v>
          </cell>
        </row>
        <row r="736">
          <cell r="D736">
            <v>5</v>
          </cell>
          <cell r="E736">
            <v>1.254776E-2</v>
          </cell>
          <cell r="F736" t="str">
            <v>Liquid</v>
          </cell>
        </row>
        <row r="737">
          <cell r="D737">
            <v>5</v>
          </cell>
          <cell r="E737">
            <v>8.7913269999999998E-3</v>
          </cell>
          <cell r="F737" t="str">
            <v>Liquid</v>
          </cell>
        </row>
        <row r="738">
          <cell r="D738">
            <v>5</v>
          </cell>
          <cell r="E738">
            <v>6.2495729999999996E-3</v>
          </cell>
          <cell r="F738" t="str">
            <v>Liquid</v>
          </cell>
        </row>
        <row r="739">
          <cell r="D739">
            <v>5</v>
          </cell>
          <cell r="E739">
            <v>3.1161490000000002E-5</v>
          </cell>
          <cell r="F739" t="str">
            <v>Liquid</v>
          </cell>
        </row>
        <row r="740">
          <cell r="D740">
            <v>5</v>
          </cell>
          <cell r="E740">
            <v>8.3808059999999993E-3</v>
          </cell>
          <cell r="F740" t="str">
            <v>Liquid</v>
          </cell>
        </row>
        <row r="741">
          <cell r="D741">
            <v>5</v>
          </cell>
          <cell r="E741">
            <v>1.8510759999999999E-3</v>
          </cell>
          <cell r="F741" t="str">
            <v>Liquid</v>
          </cell>
        </row>
        <row r="742">
          <cell r="D742">
            <v>5</v>
          </cell>
          <cell r="E742">
            <v>6.4272469999999996E-3</v>
          </cell>
          <cell r="F742" t="str">
            <v>Liquid</v>
          </cell>
        </row>
        <row r="743">
          <cell r="D743">
            <v>5</v>
          </cell>
          <cell r="E743">
            <v>3.2329120000000001E-3</v>
          </cell>
          <cell r="F743" t="str">
            <v>Liquid</v>
          </cell>
        </row>
        <row r="744">
          <cell r="D744">
            <v>5</v>
          </cell>
          <cell r="E744">
            <v>2.624651E-3</v>
          </cell>
          <cell r="F744" t="str">
            <v>Liquid</v>
          </cell>
        </row>
        <row r="745">
          <cell r="D745">
            <v>5</v>
          </cell>
          <cell r="E745">
            <v>5.2802049999999996E-3</v>
          </cell>
          <cell r="F745" t="str">
            <v>Liquid</v>
          </cell>
        </row>
        <row r="746">
          <cell r="D746">
            <v>5</v>
          </cell>
          <cell r="E746">
            <v>1.2560780000000001E-2</v>
          </cell>
          <cell r="F746" t="str">
            <v>Liquid</v>
          </cell>
        </row>
        <row r="747">
          <cell r="D747">
            <v>5</v>
          </cell>
          <cell r="E747">
            <v>1.3401359999999999E-2</v>
          </cell>
          <cell r="F747" t="str">
            <v>Liquid</v>
          </cell>
        </row>
        <row r="748">
          <cell r="D748">
            <v>5</v>
          </cell>
          <cell r="E748">
            <v>6.2514160000000001E-3</v>
          </cell>
          <cell r="F748" t="str">
            <v>Liquid</v>
          </cell>
        </row>
        <row r="749">
          <cell r="D749">
            <v>5</v>
          </cell>
          <cell r="E749">
            <v>5.0301920000000002E-3</v>
          </cell>
          <cell r="F749" t="str">
            <v>Liquid</v>
          </cell>
        </row>
        <row r="750">
          <cell r="D750">
            <v>5</v>
          </cell>
          <cell r="E750">
            <v>1.273271E-2</v>
          </cell>
          <cell r="F750" t="str">
            <v>Liquid</v>
          </cell>
        </row>
        <row r="751">
          <cell r="D751">
            <v>5</v>
          </cell>
          <cell r="E751">
            <v>2.8446819999999999E-3</v>
          </cell>
          <cell r="F751" t="str">
            <v>Liquid</v>
          </cell>
        </row>
        <row r="752">
          <cell r="D752">
            <v>5</v>
          </cell>
          <cell r="E752">
            <v>7.5776200000000002E-3</v>
          </cell>
          <cell r="F752" t="str">
            <v>Liquid</v>
          </cell>
        </row>
        <row r="753">
          <cell r="D753">
            <v>5</v>
          </cell>
          <cell r="E753">
            <v>3.223306E-3</v>
          </cell>
          <cell r="F753" t="str">
            <v>Liquid</v>
          </cell>
        </row>
        <row r="754">
          <cell r="D754">
            <v>6</v>
          </cell>
          <cell r="E754">
            <v>4.7131480000000003E-3</v>
          </cell>
          <cell r="F754" t="str">
            <v>Liquid</v>
          </cell>
        </row>
        <row r="755">
          <cell r="D755">
            <v>6</v>
          </cell>
          <cell r="E755">
            <v>1.3869899999999999E-2</v>
          </cell>
          <cell r="F755" t="str">
            <v>Liquid</v>
          </cell>
        </row>
        <row r="756">
          <cell r="D756">
            <v>6</v>
          </cell>
          <cell r="E756">
            <v>3.268399E-3</v>
          </cell>
          <cell r="F756" t="str">
            <v>Liquid</v>
          </cell>
        </row>
        <row r="757">
          <cell r="D757">
            <v>6</v>
          </cell>
          <cell r="E757">
            <v>5.4675790000000002E-2</v>
          </cell>
          <cell r="F757" t="str">
            <v>Liquid</v>
          </cell>
        </row>
        <row r="758">
          <cell r="D758">
            <v>6</v>
          </cell>
          <cell r="E758">
            <v>5.6984479999999997E-2</v>
          </cell>
          <cell r="F758" t="str">
            <v>Liquid</v>
          </cell>
        </row>
        <row r="759">
          <cell r="D759">
            <v>6</v>
          </cell>
          <cell r="E759">
            <v>2.3507900000000002E-2</v>
          </cell>
          <cell r="F759" t="str">
            <v>Liquid</v>
          </cell>
        </row>
        <row r="760">
          <cell r="D760">
            <v>6</v>
          </cell>
          <cell r="E760">
            <v>4.860076E-2</v>
          </cell>
          <cell r="F760" t="str">
            <v>Liquid</v>
          </cell>
        </row>
        <row r="761">
          <cell r="D761">
            <v>6</v>
          </cell>
          <cell r="E761">
            <v>4.7366379999999996E-3</v>
          </cell>
          <cell r="F761" t="str">
            <v>Liquid</v>
          </cell>
        </row>
        <row r="762">
          <cell r="D762">
            <v>6</v>
          </cell>
          <cell r="E762">
            <v>3.4539079999999999E-3</v>
          </cell>
          <cell r="F762" t="str">
            <v>Liquid</v>
          </cell>
        </row>
        <row r="763">
          <cell r="D763">
            <v>6</v>
          </cell>
          <cell r="E763">
            <v>3.4563749999999998E-3</v>
          </cell>
          <cell r="F763" t="str">
            <v>Liquid</v>
          </cell>
        </row>
        <row r="764">
          <cell r="D764">
            <v>6</v>
          </cell>
          <cell r="E764">
            <v>1.2758820000000001E-3</v>
          </cell>
          <cell r="F764" t="str">
            <v>Liquid</v>
          </cell>
        </row>
        <row r="765">
          <cell r="D765">
            <v>6</v>
          </cell>
          <cell r="E765">
            <v>2.34095E-4</v>
          </cell>
          <cell r="F765" t="str">
            <v>Liquid</v>
          </cell>
        </row>
        <row r="766">
          <cell r="D766">
            <v>6</v>
          </cell>
          <cell r="E766">
            <v>2.1641879999999999E-4</v>
          </cell>
          <cell r="F766" t="str">
            <v>Liquid</v>
          </cell>
        </row>
        <row r="767">
          <cell r="D767">
            <v>6</v>
          </cell>
          <cell r="E767">
            <v>1.8809510000000001E-3</v>
          </cell>
          <cell r="F767" t="str">
            <v>Liquid</v>
          </cell>
        </row>
        <row r="768">
          <cell r="D768">
            <v>6</v>
          </cell>
          <cell r="E768">
            <v>1.8125809999999999E-5</v>
          </cell>
          <cell r="F768" t="str">
            <v>Liquid</v>
          </cell>
        </row>
        <row r="769">
          <cell r="D769">
            <v>6</v>
          </cell>
          <cell r="E769">
            <v>1.6826580000000001E-3</v>
          </cell>
          <cell r="F769" t="str">
            <v>Liquid</v>
          </cell>
        </row>
        <row r="770">
          <cell r="D770">
            <v>6</v>
          </cell>
          <cell r="E770">
            <v>3.4999839999999998E-3</v>
          </cell>
          <cell r="F770" t="str">
            <v>Liquid</v>
          </cell>
        </row>
        <row r="771">
          <cell r="D771">
            <v>6</v>
          </cell>
          <cell r="E771">
            <v>3.498092E-3</v>
          </cell>
          <cell r="F771" t="str">
            <v>Liquid</v>
          </cell>
        </row>
        <row r="772">
          <cell r="D772">
            <v>6</v>
          </cell>
          <cell r="E772">
            <v>5.9158859999999998E-4</v>
          </cell>
          <cell r="F772" t="str">
            <v>Liquid</v>
          </cell>
        </row>
        <row r="773">
          <cell r="D773">
            <v>6</v>
          </cell>
          <cell r="E773">
            <v>2.0920959999999999E-2</v>
          </cell>
          <cell r="F773" t="str">
            <v>Liquid</v>
          </cell>
        </row>
        <row r="774">
          <cell r="D774">
            <v>6</v>
          </cell>
          <cell r="E774">
            <v>3.486547E-3</v>
          </cell>
          <cell r="F774" t="str">
            <v>Liquid</v>
          </cell>
        </row>
        <row r="775">
          <cell r="D775">
            <v>6</v>
          </cell>
          <cell r="E775">
            <v>3.4846130000000001E-3</v>
          </cell>
          <cell r="F775" t="str">
            <v>Liquid</v>
          </cell>
        </row>
        <row r="776">
          <cell r="D776">
            <v>6</v>
          </cell>
          <cell r="E776">
            <v>3.4826710000000001E-3</v>
          </cell>
          <cell r="F776" t="str">
            <v>Liquid</v>
          </cell>
        </row>
        <row r="777">
          <cell r="D777">
            <v>6</v>
          </cell>
          <cell r="E777">
            <v>3.4807380000000001E-3</v>
          </cell>
          <cell r="F777" t="str">
            <v>Liquid</v>
          </cell>
        </row>
        <row r="778">
          <cell r="D778">
            <v>6</v>
          </cell>
          <cell r="E778">
            <v>3.4787619999999998E-3</v>
          </cell>
          <cell r="F778" t="str">
            <v>Liquid</v>
          </cell>
        </row>
        <row r="779">
          <cell r="D779">
            <v>6</v>
          </cell>
          <cell r="E779">
            <v>3.4768279999999999E-3</v>
          </cell>
          <cell r="F779" t="str">
            <v>Liquid</v>
          </cell>
        </row>
        <row r="780">
          <cell r="D780">
            <v>6</v>
          </cell>
          <cell r="E780">
            <v>2.904472E-3</v>
          </cell>
          <cell r="F780" t="str">
            <v>Liquid</v>
          </cell>
        </row>
        <row r="781">
          <cell r="D781">
            <v>6</v>
          </cell>
          <cell r="E781">
            <v>5.2421689999999996E-3</v>
          </cell>
          <cell r="F781" t="str">
            <v>Liquid</v>
          </cell>
        </row>
        <row r="782">
          <cell r="D782">
            <v>6</v>
          </cell>
          <cell r="E782">
            <v>2.3395880000000001E-3</v>
          </cell>
          <cell r="F782" t="str">
            <v>Liquid</v>
          </cell>
        </row>
        <row r="783">
          <cell r="D783">
            <v>6</v>
          </cell>
          <cell r="E783">
            <v>2.972279E-3</v>
          </cell>
          <cell r="F783" t="str">
            <v>Liquid</v>
          </cell>
        </row>
        <row r="784">
          <cell r="D784">
            <v>6</v>
          </cell>
          <cell r="E784">
            <v>2.5623529999999999E-3</v>
          </cell>
          <cell r="F784" t="str">
            <v>Liquid</v>
          </cell>
        </row>
        <row r="785">
          <cell r="D785">
            <v>6</v>
          </cell>
          <cell r="E785">
            <v>2.425778E-3</v>
          </cell>
          <cell r="F785" t="str">
            <v>Liquid</v>
          </cell>
        </row>
        <row r="786">
          <cell r="D786">
            <v>6</v>
          </cell>
          <cell r="E786">
            <v>5.1746420000000001E-3</v>
          </cell>
          <cell r="F786" t="str">
            <v>Liquid</v>
          </cell>
        </row>
        <row r="787">
          <cell r="D787">
            <v>6</v>
          </cell>
          <cell r="E787">
            <v>2.885636E-3</v>
          </cell>
          <cell r="F787" t="str">
            <v>Liquid</v>
          </cell>
        </row>
        <row r="788">
          <cell r="D788">
            <v>6</v>
          </cell>
          <cell r="E788">
            <v>4.9013670000000002E-3</v>
          </cell>
          <cell r="F788" t="str">
            <v>Liquid</v>
          </cell>
        </row>
        <row r="789">
          <cell r="D789">
            <v>6</v>
          </cell>
          <cell r="E789">
            <v>1.8790829999999999E-3</v>
          </cell>
          <cell r="F789" t="str">
            <v>Liquid</v>
          </cell>
        </row>
        <row r="790">
          <cell r="D790">
            <v>6</v>
          </cell>
          <cell r="E790">
            <v>4.6280590000000003E-3</v>
          </cell>
          <cell r="F790" t="str">
            <v>Liquid</v>
          </cell>
        </row>
        <row r="791">
          <cell r="D791">
            <v>6</v>
          </cell>
          <cell r="E791">
            <v>1.221911E-2</v>
          </cell>
          <cell r="F791" t="str">
            <v>Liquid</v>
          </cell>
        </row>
        <row r="792">
          <cell r="D792">
            <v>6</v>
          </cell>
          <cell r="E792">
            <v>0.21400810000000001</v>
          </cell>
          <cell r="F792" t="str">
            <v>Liquid</v>
          </cell>
        </row>
        <row r="793">
          <cell r="D793">
            <v>6</v>
          </cell>
          <cell r="E793">
            <v>4.9201460000000002E-3</v>
          </cell>
          <cell r="F793" t="str">
            <v>Liquid</v>
          </cell>
        </row>
        <row r="794">
          <cell r="D794">
            <v>6</v>
          </cell>
          <cell r="E794">
            <v>8.2105849999999994E-2</v>
          </cell>
          <cell r="F794" t="str">
            <v>Liquid</v>
          </cell>
        </row>
        <row r="795">
          <cell r="D795">
            <v>6</v>
          </cell>
          <cell r="E795">
            <v>5.7905839999999997E-3</v>
          </cell>
          <cell r="F795" t="str">
            <v>Liquid</v>
          </cell>
        </row>
        <row r="796">
          <cell r="D796">
            <v>6</v>
          </cell>
          <cell r="E796">
            <v>6.2453079999999998E-3</v>
          </cell>
          <cell r="F796" t="str">
            <v>Liquid</v>
          </cell>
        </row>
        <row r="797">
          <cell r="D797">
            <v>6</v>
          </cell>
          <cell r="E797">
            <v>2.3685809999999998E-3</v>
          </cell>
          <cell r="F797" t="str">
            <v>Liquid</v>
          </cell>
        </row>
        <row r="798">
          <cell r="D798">
            <v>6</v>
          </cell>
          <cell r="E798">
            <v>1.463044E-2</v>
          </cell>
          <cell r="F798" t="str">
            <v>Liquid</v>
          </cell>
        </row>
        <row r="799">
          <cell r="D799">
            <v>6</v>
          </cell>
          <cell r="E799">
            <v>0.1169029</v>
          </cell>
          <cell r="F799" t="str">
            <v>Liquid</v>
          </cell>
        </row>
        <row r="800">
          <cell r="D800">
            <v>6</v>
          </cell>
          <cell r="E800">
            <v>1.187092E-2</v>
          </cell>
          <cell r="F800" t="str">
            <v>Liquid</v>
          </cell>
        </row>
        <row r="801">
          <cell r="D801">
            <v>6</v>
          </cell>
          <cell r="E801">
            <v>3.1369089999999998E-3</v>
          </cell>
          <cell r="F801" t="str">
            <v>Liquid</v>
          </cell>
        </row>
        <row r="802">
          <cell r="D802">
            <v>6</v>
          </cell>
          <cell r="E802">
            <v>6.8885140000000001E-3</v>
          </cell>
          <cell r="F802" t="str">
            <v>Liquid</v>
          </cell>
        </row>
        <row r="803">
          <cell r="D803">
            <v>6</v>
          </cell>
          <cell r="E803">
            <v>3.1247250000000001E-3</v>
          </cell>
          <cell r="F803" t="str">
            <v>Liquid</v>
          </cell>
        </row>
        <row r="804">
          <cell r="D804">
            <v>6</v>
          </cell>
          <cell r="E804">
            <v>1.244733E-2</v>
          </cell>
          <cell r="F804" t="str">
            <v>Liquid</v>
          </cell>
        </row>
        <row r="805">
          <cell r="D805">
            <v>6</v>
          </cell>
          <cell r="E805">
            <v>0.1155393</v>
          </cell>
          <cell r="F805" t="str">
            <v>Liquid</v>
          </cell>
        </row>
        <row r="806">
          <cell r="D806">
            <v>6</v>
          </cell>
          <cell r="E806">
            <v>7.8768989999999997E-3</v>
          </cell>
          <cell r="F806" t="str">
            <v>Liquid</v>
          </cell>
        </row>
        <row r="807">
          <cell r="D807">
            <v>6</v>
          </cell>
          <cell r="E807">
            <v>9.4215740000000003E-3</v>
          </cell>
          <cell r="F807" t="str">
            <v>Liquid</v>
          </cell>
        </row>
        <row r="808">
          <cell r="D808">
            <v>6</v>
          </cell>
          <cell r="E808">
            <v>4.3244709999999999E-3</v>
          </cell>
          <cell r="F808" t="str">
            <v>Liquid</v>
          </cell>
        </row>
        <row r="809">
          <cell r="D809">
            <v>6</v>
          </cell>
          <cell r="E809">
            <v>3.125643E-3</v>
          </cell>
          <cell r="F809" t="str">
            <v>Liquid</v>
          </cell>
        </row>
        <row r="810">
          <cell r="D810">
            <v>6</v>
          </cell>
          <cell r="E810">
            <v>1.1542999999999999E-2</v>
          </cell>
          <cell r="F810" t="str">
            <v>Liquid</v>
          </cell>
        </row>
        <row r="811">
          <cell r="D811">
            <v>0</v>
          </cell>
          <cell r="E811">
            <v>0.66554179999999996</v>
          </cell>
          <cell r="F811" t="str">
            <v>Liquid</v>
          </cell>
        </row>
        <row r="812">
          <cell r="D812">
            <v>1</v>
          </cell>
          <cell r="E812">
            <v>2.4513529999999999E-3</v>
          </cell>
          <cell r="F812" t="str">
            <v>Liquid</v>
          </cell>
        </row>
        <row r="813">
          <cell r="D813">
            <v>1</v>
          </cell>
          <cell r="E813">
            <v>3.4158669999999999E-3</v>
          </cell>
          <cell r="F813" t="str">
            <v>Liquid</v>
          </cell>
        </row>
        <row r="814">
          <cell r="D814">
            <v>1</v>
          </cell>
          <cell r="E814">
            <v>4.9026570000000004E-3</v>
          </cell>
          <cell r="F814" t="str">
            <v>Liquid</v>
          </cell>
        </row>
        <row r="815">
          <cell r="D815">
            <v>1</v>
          </cell>
          <cell r="E815">
            <v>1.7782929999999999E-2</v>
          </cell>
          <cell r="F815" t="str">
            <v>Liquid</v>
          </cell>
        </row>
        <row r="816">
          <cell r="D816">
            <v>2</v>
          </cell>
          <cell r="E816">
            <v>2.6095710000000001E-2</v>
          </cell>
          <cell r="F816" t="str">
            <v>Liquid</v>
          </cell>
        </row>
        <row r="817">
          <cell r="D817">
            <v>2</v>
          </cell>
          <cell r="E817">
            <v>1.1436490000000001E-2</v>
          </cell>
          <cell r="F817" t="str">
            <v>Liquid</v>
          </cell>
        </row>
        <row r="818">
          <cell r="D818">
            <v>2</v>
          </cell>
          <cell r="E818">
            <v>3.118839E-3</v>
          </cell>
          <cell r="F818" t="str">
            <v>Liquid</v>
          </cell>
        </row>
        <row r="819">
          <cell r="D819">
            <v>3</v>
          </cell>
          <cell r="E819">
            <v>3.9027069999999997E-2</v>
          </cell>
          <cell r="F819" t="str">
            <v>Liquid</v>
          </cell>
        </row>
        <row r="820">
          <cell r="D820">
            <v>4</v>
          </cell>
          <cell r="E820">
            <v>6.2376130000000004E-3</v>
          </cell>
          <cell r="F820" t="str">
            <v>Liquid</v>
          </cell>
        </row>
        <row r="821">
          <cell r="D821">
            <v>5</v>
          </cell>
          <cell r="E821">
            <v>6.2376749999999998E-3</v>
          </cell>
          <cell r="F821" t="str">
            <v>Liquid</v>
          </cell>
        </row>
        <row r="822">
          <cell r="D822">
            <v>6</v>
          </cell>
          <cell r="E822">
            <v>2.5953919999999998E-2</v>
          </cell>
          <cell r="F822" t="str">
            <v>Liquid</v>
          </cell>
        </row>
        <row r="823">
          <cell r="D823">
            <v>6</v>
          </cell>
          <cell r="E823">
            <v>3.118839E-3</v>
          </cell>
          <cell r="F823" t="str">
            <v>Liquid</v>
          </cell>
        </row>
        <row r="824">
          <cell r="D824">
            <v>0</v>
          </cell>
          <cell r="E824">
            <v>6.1582060000000003E-3</v>
          </cell>
          <cell r="F824" t="str">
            <v>Gas</v>
          </cell>
        </row>
        <row r="825">
          <cell r="D825">
            <v>0</v>
          </cell>
          <cell r="E825">
            <v>3.3330869999999999E-2</v>
          </cell>
          <cell r="F825" t="str">
            <v>Gas</v>
          </cell>
        </row>
        <row r="826">
          <cell r="D826">
            <v>0</v>
          </cell>
          <cell r="E826">
            <v>6.6426520000000003E-2</v>
          </cell>
          <cell r="F826" t="str">
            <v>Gas</v>
          </cell>
        </row>
        <row r="827">
          <cell r="D827">
            <v>1</v>
          </cell>
          <cell r="E827">
            <v>3.1095089999999999E-3</v>
          </cell>
          <cell r="F827" t="str">
            <v>Gas</v>
          </cell>
        </row>
        <row r="828">
          <cell r="D828">
            <v>1</v>
          </cell>
          <cell r="E828">
            <v>6.2194570000000003E-3</v>
          </cell>
          <cell r="F828" t="str">
            <v>Gas</v>
          </cell>
        </row>
        <row r="829">
          <cell r="D829">
            <v>1</v>
          </cell>
          <cell r="E829">
            <v>4.1975399999999996E-3</v>
          </cell>
          <cell r="F829" t="str">
            <v>Gas</v>
          </cell>
        </row>
        <row r="830">
          <cell r="D830">
            <v>1</v>
          </cell>
          <cell r="E830">
            <v>4.8390680000000002E-3</v>
          </cell>
          <cell r="F830" t="str">
            <v>Gas</v>
          </cell>
        </row>
        <row r="831">
          <cell r="D831">
            <v>1</v>
          </cell>
          <cell r="E831">
            <v>0.39103339999999998</v>
          </cell>
          <cell r="F831" t="str">
            <v>Gas</v>
          </cell>
        </row>
        <row r="832">
          <cell r="D832">
            <v>1</v>
          </cell>
          <cell r="E832">
            <v>1.231661E-2</v>
          </cell>
          <cell r="F832" t="str">
            <v>Gas</v>
          </cell>
        </row>
        <row r="833">
          <cell r="D833">
            <v>1</v>
          </cell>
          <cell r="E833">
            <v>1.9311780000000001E-2</v>
          </cell>
          <cell r="F833" t="str">
            <v>Gas</v>
          </cell>
        </row>
        <row r="834">
          <cell r="D834">
            <v>1</v>
          </cell>
          <cell r="E834">
            <v>6.0267649999999999E-3</v>
          </cell>
          <cell r="F834" t="str">
            <v>Gas</v>
          </cell>
        </row>
        <row r="835">
          <cell r="D835">
            <v>1</v>
          </cell>
          <cell r="E835">
            <v>7.4095080000000004E-3</v>
          </cell>
          <cell r="F835" t="str">
            <v>Gas</v>
          </cell>
        </row>
        <row r="836">
          <cell r="D836">
            <v>1</v>
          </cell>
          <cell r="E836">
            <v>0.24176130000000001</v>
          </cell>
          <cell r="F836" t="str">
            <v>Gas</v>
          </cell>
        </row>
        <row r="837">
          <cell r="D837">
            <v>2</v>
          </cell>
          <cell r="E837">
            <v>6.218955E-3</v>
          </cell>
          <cell r="F837" t="str">
            <v>Gas</v>
          </cell>
        </row>
        <row r="838">
          <cell r="D838">
            <v>2</v>
          </cell>
          <cell r="E838">
            <v>3.109728E-3</v>
          </cell>
          <cell r="F838" t="str">
            <v>Gas</v>
          </cell>
        </row>
        <row r="839">
          <cell r="D839">
            <v>2</v>
          </cell>
          <cell r="E839">
            <v>9.5220630000000003E-4</v>
          </cell>
          <cell r="F839" t="str">
            <v>Gas</v>
          </cell>
        </row>
        <row r="840">
          <cell r="D840">
            <v>2</v>
          </cell>
          <cell r="E840">
            <v>9.3257860000000008E-3</v>
          </cell>
          <cell r="F840" t="str">
            <v>Gas</v>
          </cell>
        </row>
        <row r="841">
          <cell r="D841">
            <v>2</v>
          </cell>
          <cell r="E841">
            <v>6.2172319999999996E-3</v>
          </cell>
          <cell r="F841" t="str">
            <v>Gas</v>
          </cell>
        </row>
        <row r="842">
          <cell r="D842">
            <v>2</v>
          </cell>
          <cell r="E842">
            <v>0.1492126</v>
          </cell>
          <cell r="F842" t="str">
            <v>Gas</v>
          </cell>
        </row>
        <row r="843">
          <cell r="D843">
            <v>2</v>
          </cell>
          <cell r="E843">
            <v>6.2172319999999996E-3</v>
          </cell>
          <cell r="F843" t="str">
            <v>Gas</v>
          </cell>
        </row>
        <row r="844">
          <cell r="D844">
            <v>2</v>
          </cell>
          <cell r="E844">
            <v>6.2171700000000002E-3</v>
          </cell>
          <cell r="F844" t="str">
            <v>Gas</v>
          </cell>
        </row>
        <row r="845">
          <cell r="D845">
            <v>2</v>
          </cell>
          <cell r="E845">
            <v>4.6612830000000001E-2</v>
          </cell>
          <cell r="F845" t="str">
            <v>Gas</v>
          </cell>
        </row>
        <row r="846">
          <cell r="D846">
            <v>2</v>
          </cell>
          <cell r="E846">
            <v>2.8418599999999999E-3</v>
          </cell>
          <cell r="F846" t="str">
            <v>Gas</v>
          </cell>
        </row>
        <row r="847">
          <cell r="D847">
            <v>2</v>
          </cell>
          <cell r="E847">
            <v>1.319209E-3</v>
          </cell>
          <cell r="F847" t="str">
            <v>Gas</v>
          </cell>
        </row>
        <row r="848">
          <cell r="D848">
            <v>2</v>
          </cell>
          <cell r="E848">
            <v>4.9792409999999997E-3</v>
          </cell>
          <cell r="F848" t="str">
            <v>Gas</v>
          </cell>
        </row>
        <row r="849">
          <cell r="D849">
            <v>2</v>
          </cell>
          <cell r="E849">
            <v>1.121901E-3</v>
          </cell>
          <cell r="F849" t="str">
            <v>Gas</v>
          </cell>
        </row>
        <row r="850">
          <cell r="D850">
            <v>2</v>
          </cell>
          <cell r="E850">
            <v>4.7702530000000003E-3</v>
          </cell>
          <cell r="F850" t="str">
            <v>Gas</v>
          </cell>
        </row>
        <row r="851">
          <cell r="D851">
            <v>2</v>
          </cell>
          <cell r="E851">
            <v>1.7162139999999999E-2</v>
          </cell>
          <cell r="F851" t="str">
            <v>Gas</v>
          </cell>
        </row>
        <row r="852">
          <cell r="D852">
            <v>2</v>
          </cell>
          <cell r="E852">
            <v>6.9754949999999996E-2</v>
          </cell>
          <cell r="F852" t="str">
            <v>Gas</v>
          </cell>
        </row>
        <row r="853">
          <cell r="D853">
            <v>2</v>
          </cell>
          <cell r="E853">
            <v>5.0590040000000003E-2</v>
          </cell>
          <cell r="F853" t="str">
            <v>Gas</v>
          </cell>
        </row>
        <row r="854">
          <cell r="D854">
            <v>2</v>
          </cell>
          <cell r="E854">
            <v>4.0022870000000002E-3</v>
          </cell>
          <cell r="F854" t="str">
            <v>Gas</v>
          </cell>
        </row>
        <row r="855">
          <cell r="D855">
            <v>2</v>
          </cell>
          <cell r="E855">
            <v>6.1339690000000002E-2</v>
          </cell>
          <cell r="F855" t="str">
            <v>Gas</v>
          </cell>
        </row>
        <row r="856">
          <cell r="D856">
            <v>2</v>
          </cell>
          <cell r="E856">
            <v>8.0267379999999999E-2</v>
          </cell>
          <cell r="F856" t="str">
            <v>Gas</v>
          </cell>
        </row>
        <row r="857">
          <cell r="D857">
            <v>2</v>
          </cell>
          <cell r="E857">
            <v>5.0650199999999999E-3</v>
          </cell>
          <cell r="F857" t="str">
            <v>Gas</v>
          </cell>
        </row>
        <row r="858">
          <cell r="D858">
            <v>2</v>
          </cell>
          <cell r="E858">
            <v>4.1375940000000001E-4</v>
          </cell>
          <cell r="F858" t="str">
            <v>Gas</v>
          </cell>
        </row>
        <row r="859">
          <cell r="D859">
            <v>2</v>
          </cell>
          <cell r="E859">
            <v>9.4230319999999996E-3</v>
          </cell>
          <cell r="F859" t="str">
            <v>Gas</v>
          </cell>
        </row>
        <row r="860">
          <cell r="D860">
            <v>2</v>
          </cell>
          <cell r="E860">
            <v>2.2792570000000002E-2</v>
          </cell>
          <cell r="F860" t="str">
            <v>Gas</v>
          </cell>
        </row>
        <row r="861">
          <cell r="D861">
            <v>2</v>
          </cell>
          <cell r="E861">
            <v>6.3313729999999999E-2</v>
          </cell>
          <cell r="F861" t="str">
            <v>Gas</v>
          </cell>
        </row>
        <row r="862">
          <cell r="D862">
            <v>2</v>
          </cell>
          <cell r="E862">
            <v>3.2921760000000001E-2</v>
          </cell>
          <cell r="F862" t="str">
            <v>Gas</v>
          </cell>
        </row>
        <row r="863">
          <cell r="D863">
            <v>3</v>
          </cell>
          <cell r="E863">
            <v>1.243797E-2</v>
          </cell>
          <cell r="F863" t="str">
            <v>Gas</v>
          </cell>
        </row>
        <row r="864">
          <cell r="D864">
            <v>3</v>
          </cell>
          <cell r="E864">
            <v>5.4693449999999998E-2</v>
          </cell>
          <cell r="F864" t="str">
            <v>Gas</v>
          </cell>
        </row>
        <row r="865">
          <cell r="D865">
            <v>3</v>
          </cell>
          <cell r="E865">
            <v>8.2859860000000004E-4</v>
          </cell>
          <cell r="F865" t="str">
            <v>Gas</v>
          </cell>
        </row>
        <row r="866">
          <cell r="D866">
            <v>3</v>
          </cell>
          <cell r="E866">
            <v>3.109667E-3</v>
          </cell>
          <cell r="F866" t="str">
            <v>Gas</v>
          </cell>
        </row>
        <row r="867">
          <cell r="D867">
            <v>3</v>
          </cell>
          <cell r="E867">
            <v>3.2453E-3</v>
          </cell>
          <cell r="F867" t="str">
            <v>Gas</v>
          </cell>
        </row>
        <row r="868">
          <cell r="D868">
            <v>3</v>
          </cell>
          <cell r="E868">
            <v>5.6482310000000001E-2</v>
          </cell>
          <cell r="F868" t="str">
            <v>Gas</v>
          </cell>
        </row>
        <row r="869">
          <cell r="D869">
            <v>3</v>
          </cell>
          <cell r="E869">
            <v>2.45327E-3</v>
          </cell>
          <cell r="F869" t="str">
            <v>Gas</v>
          </cell>
        </row>
        <row r="870">
          <cell r="D870">
            <v>3</v>
          </cell>
          <cell r="E870">
            <v>1.522645E-3</v>
          </cell>
          <cell r="F870" t="str">
            <v>Gas</v>
          </cell>
        </row>
        <row r="871">
          <cell r="D871">
            <v>3</v>
          </cell>
          <cell r="E871">
            <v>2.9317449999999998E-2</v>
          </cell>
          <cell r="F871" t="str">
            <v>Gas</v>
          </cell>
        </row>
        <row r="872">
          <cell r="D872">
            <v>3</v>
          </cell>
          <cell r="E872">
            <v>4.1152999999999997E-3</v>
          </cell>
          <cell r="F872" t="str">
            <v>Gas</v>
          </cell>
        </row>
        <row r="873">
          <cell r="D873">
            <v>3</v>
          </cell>
          <cell r="E873">
            <v>5.7040509999999999E-3</v>
          </cell>
          <cell r="F873" t="str">
            <v>Gas</v>
          </cell>
        </row>
        <row r="874">
          <cell r="D874">
            <v>3</v>
          </cell>
          <cell r="E874">
            <v>8.3403390000000004E-3</v>
          </cell>
          <cell r="F874" t="str">
            <v>Gas</v>
          </cell>
        </row>
        <row r="875">
          <cell r="D875">
            <v>3</v>
          </cell>
          <cell r="E875">
            <v>3.3801060000000001E-2</v>
          </cell>
          <cell r="F875" t="str">
            <v>Gas</v>
          </cell>
        </row>
        <row r="876">
          <cell r="D876">
            <v>3</v>
          </cell>
          <cell r="E876">
            <v>1.226854E-2</v>
          </cell>
          <cell r="F876" t="str">
            <v>Gas</v>
          </cell>
        </row>
        <row r="877">
          <cell r="D877">
            <v>3</v>
          </cell>
          <cell r="E877">
            <v>4.4878019999999998E-2</v>
          </cell>
          <cell r="F877" t="str">
            <v>Gas</v>
          </cell>
        </row>
        <row r="878">
          <cell r="D878">
            <v>3</v>
          </cell>
          <cell r="E878">
            <v>3.1051239999999999E-3</v>
          </cell>
          <cell r="F878" t="str">
            <v>Gas</v>
          </cell>
        </row>
        <row r="879">
          <cell r="D879">
            <v>3</v>
          </cell>
          <cell r="E879">
            <v>3.0768369999999998E-3</v>
          </cell>
          <cell r="F879" t="str">
            <v>Gas</v>
          </cell>
        </row>
        <row r="880">
          <cell r="D880">
            <v>3</v>
          </cell>
          <cell r="E880">
            <v>1.9371480000000001E-3</v>
          </cell>
          <cell r="F880" t="str">
            <v>Gas</v>
          </cell>
        </row>
        <row r="881">
          <cell r="D881">
            <v>3</v>
          </cell>
          <cell r="E881">
            <v>9.276589E-3</v>
          </cell>
          <cell r="F881" t="str">
            <v>Gas</v>
          </cell>
        </row>
        <row r="882">
          <cell r="D882">
            <v>3</v>
          </cell>
          <cell r="E882">
            <v>5.3425380000000001E-2</v>
          </cell>
          <cell r="F882" t="str">
            <v>Gas</v>
          </cell>
        </row>
        <row r="883">
          <cell r="D883">
            <v>3</v>
          </cell>
          <cell r="E883">
            <v>2.2301030000000002E-3</v>
          </cell>
          <cell r="F883" t="str">
            <v>Gas</v>
          </cell>
        </row>
        <row r="884">
          <cell r="D884">
            <v>3</v>
          </cell>
          <cell r="E884">
            <v>5.1391700000000002E-4</v>
          </cell>
          <cell r="F884" t="str">
            <v>Gas</v>
          </cell>
        </row>
        <row r="885">
          <cell r="D885">
            <v>3</v>
          </cell>
          <cell r="E885">
            <v>4.3448510000000003E-2</v>
          </cell>
          <cell r="F885" t="str">
            <v>Gas</v>
          </cell>
        </row>
        <row r="886">
          <cell r="D886">
            <v>3</v>
          </cell>
          <cell r="E886">
            <v>2.5789440000000001E-3</v>
          </cell>
          <cell r="F886" t="str">
            <v>Gas</v>
          </cell>
        </row>
        <row r="887">
          <cell r="D887">
            <v>3</v>
          </cell>
          <cell r="E887">
            <v>4.6813109999999996E-3</v>
          </cell>
          <cell r="F887" t="str">
            <v>Gas</v>
          </cell>
        </row>
        <row r="888">
          <cell r="D888">
            <v>3</v>
          </cell>
          <cell r="E888">
            <v>3.9343030000000001E-3</v>
          </cell>
          <cell r="F888" t="str">
            <v>Gas</v>
          </cell>
        </row>
        <row r="889">
          <cell r="D889">
            <v>3</v>
          </cell>
          <cell r="E889">
            <v>3.0072079999999999E-3</v>
          </cell>
          <cell r="F889" t="str">
            <v>Gas</v>
          </cell>
        </row>
        <row r="890">
          <cell r="D890">
            <v>3</v>
          </cell>
          <cell r="E890">
            <v>8.1289429999999998E-4</v>
          </cell>
          <cell r="F890" t="str">
            <v>Gas</v>
          </cell>
        </row>
        <row r="891">
          <cell r="D891">
            <v>3</v>
          </cell>
          <cell r="E891">
            <v>1.3729130000000001E-2</v>
          </cell>
          <cell r="F891" t="str">
            <v>Gas</v>
          </cell>
        </row>
        <row r="892">
          <cell r="D892">
            <v>3</v>
          </cell>
          <cell r="E892">
            <v>2.0422099999999999E-2</v>
          </cell>
          <cell r="F892" t="str">
            <v>Gas</v>
          </cell>
        </row>
        <row r="893">
          <cell r="D893">
            <v>3</v>
          </cell>
          <cell r="E893">
            <v>5.9788699999999996E-4</v>
          </cell>
          <cell r="F893" t="str">
            <v>Gas</v>
          </cell>
        </row>
        <row r="894">
          <cell r="D894">
            <v>3</v>
          </cell>
          <cell r="E894">
            <v>1.494057E-2</v>
          </cell>
          <cell r="F894" t="str">
            <v>Gas</v>
          </cell>
        </row>
        <row r="895">
          <cell r="D895">
            <v>3</v>
          </cell>
          <cell r="E895">
            <v>9.9436040000000003E-2</v>
          </cell>
          <cell r="F895" t="str">
            <v>Gas</v>
          </cell>
        </row>
        <row r="896">
          <cell r="D896">
            <v>3</v>
          </cell>
          <cell r="E896">
            <v>2.118782E-3</v>
          </cell>
          <cell r="F896" t="str">
            <v>Gas</v>
          </cell>
        </row>
        <row r="897">
          <cell r="D897">
            <v>3</v>
          </cell>
          <cell r="E897">
            <v>5.0650089999999997E-3</v>
          </cell>
          <cell r="F897" t="str">
            <v>Gas</v>
          </cell>
        </row>
        <row r="898">
          <cell r="D898">
            <v>3</v>
          </cell>
          <cell r="E898">
            <v>3.2991550000000001E-2</v>
          </cell>
          <cell r="F898" t="str">
            <v>Gas</v>
          </cell>
        </row>
        <row r="899">
          <cell r="D899">
            <v>4</v>
          </cell>
          <cell r="E899">
            <v>2.4525430000000002E-3</v>
          </cell>
          <cell r="F899" t="str">
            <v>Gas</v>
          </cell>
        </row>
        <row r="900">
          <cell r="D900">
            <v>4</v>
          </cell>
          <cell r="E900">
            <v>4.9052030000000003E-3</v>
          </cell>
          <cell r="F900" t="str">
            <v>Gas</v>
          </cell>
        </row>
        <row r="901">
          <cell r="D901">
            <v>4</v>
          </cell>
          <cell r="E901">
            <v>3.1095089999999999E-3</v>
          </cell>
          <cell r="F901" t="str">
            <v>Gas</v>
          </cell>
        </row>
        <row r="902">
          <cell r="D902">
            <v>4</v>
          </cell>
          <cell r="E902">
            <v>3.1095089999999999E-3</v>
          </cell>
          <cell r="F902" t="str">
            <v>Gas</v>
          </cell>
        </row>
        <row r="903">
          <cell r="D903">
            <v>4</v>
          </cell>
          <cell r="E903">
            <v>3.109447E-3</v>
          </cell>
          <cell r="F903" t="str">
            <v>Gas</v>
          </cell>
        </row>
        <row r="904">
          <cell r="D904">
            <v>4</v>
          </cell>
          <cell r="E904">
            <v>1.5371279999999999E-2</v>
          </cell>
          <cell r="F904" t="str">
            <v>Gas</v>
          </cell>
        </row>
        <row r="905">
          <cell r="D905">
            <v>4</v>
          </cell>
          <cell r="E905">
            <v>4.1974589999999997E-3</v>
          </cell>
          <cell r="F905" t="str">
            <v>Gas</v>
          </cell>
        </row>
        <row r="906">
          <cell r="D906">
            <v>4</v>
          </cell>
          <cell r="E906">
            <v>2.4533189999999998E-3</v>
          </cell>
          <cell r="F906" t="str">
            <v>Gas</v>
          </cell>
        </row>
        <row r="907">
          <cell r="D907">
            <v>4</v>
          </cell>
          <cell r="E907">
            <v>1.5284400000000001E-3</v>
          </cell>
          <cell r="F907" t="str">
            <v>Gas</v>
          </cell>
        </row>
        <row r="908">
          <cell r="D908">
            <v>4</v>
          </cell>
          <cell r="E908">
            <v>2.841779E-3</v>
          </cell>
          <cell r="F908" t="str">
            <v>Gas</v>
          </cell>
        </row>
        <row r="909">
          <cell r="D909">
            <v>4</v>
          </cell>
          <cell r="E909">
            <v>2.194523E-2</v>
          </cell>
          <cell r="F909" t="str">
            <v>Gas</v>
          </cell>
        </row>
        <row r="910">
          <cell r="D910">
            <v>4</v>
          </cell>
          <cell r="E910">
            <v>2.453149E-3</v>
          </cell>
          <cell r="F910" t="str">
            <v>Gas</v>
          </cell>
        </row>
        <row r="911">
          <cell r="D911">
            <v>4</v>
          </cell>
          <cell r="E911">
            <v>2.453149E-3</v>
          </cell>
          <cell r="F911" t="str">
            <v>Gas</v>
          </cell>
        </row>
        <row r="912">
          <cell r="D912">
            <v>4</v>
          </cell>
          <cell r="E912">
            <v>1.71719E-2</v>
          </cell>
          <cell r="F912" t="str">
            <v>Gas</v>
          </cell>
        </row>
        <row r="913">
          <cell r="D913">
            <v>4</v>
          </cell>
          <cell r="E913">
            <v>3.8038379999999997E-2</v>
          </cell>
          <cell r="F913" t="str">
            <v>Gas</v>
          </cell>
        </row>
        <row r="914">
          <cell r="D914">
            <v>4</v>
          </cell>
          <cell r="E914">
            <v>4.9268790000000003E-3</v>
          </cell>
          <cell r="F914" t="str">
            <v>Gas</v>
          </cell>
        </row>
        <row r="915">
          <cell r="D915">
            <v>4</v>
          </cell>
          <cell r="E915">
            <v>4.9164320000000001E-3</v>
          </cell>
          <cell r="F915" t="str">
            <v>Gas</v>
          </cell>
        </row>
        <row r="916">
          <cell r="D916">
            <v>4</v>
          </cell>
          <cell r="E916">
            <v>0.20625289999999999</v>
          </cell>
          <cell r="F916" t="str">
            <v>Gas</v>
          </cell>
        </row>
        <row r="917">
          <cell r="D917">
            <v>4</v>
          </cell>
          <cell r="E917">
            <v>2.4759109999999999E-3</v>
          </cell>
          <cell r="F917" t="str">
            <v>Gas</v>
          </cell>
        </row>
        <row r="918">
          <cell r="D918">
            <v>4</v>
          </cell>
          <cell r="E918">
            <v>3.429877E-3</v>
          </cell>
          <cell r="F918" t="str">
            <v>Gas</v>
          </cell>
        </row>
        <row r="919">
          <cell r="D919">
            <v>4</v>
          </cell>
          <cell r="E919">
            <v>2.6615559999999998E-3</v>
          </cell>
          <cell r="F919" t="str">
            <v>Gas</v>
          </cell>
        </row>
        <row r="920">
          <cell r="D920">
            <v>4</v>
          </cell>
          <cell r="E920">
            <v>3.1755099999999999E-3</v>
          </cell>
          <cell r="F920" t="str">
            <v>Gas</v>
          </cell>
        </row>
        <row r="921">
          <cell r="D921">
            <v>4</v>
          </cell>
          <cell r="E921">
            <v>4.8916230000000003E-3</v>
          </cell>
          <cell r="F921" t="str">
            <v>Gas</v>
          </cell>
        </row>
        <row r="922">
          <cell r="D922">
            <v>4</v>
          </cell>
          <cell r="E922">
            <v>5.2730520000000003E-3</v>
          </cell>
          <cell r="F922" t="str">
            <v>Gas</v>
          </cell>
        </row>
        <row r="923">
          <cell r="D923">
            <v>4</v>
          </cell>
          <cell r="E923">
            <v>6.7990120000000001E-3</v>
          </cell>
          <cell r="F923" t="str">
            <v>Gas</v>
          </cell>
        </row>
        <row r="924">
          <cell r="D924">
            <v>4</v>
          </cell>
          <cell r="E924">
            <v>9.0411710000000006E-3</v>
          </cell>
          <cell r="F924" t="str">
            <v>Gas</v>
          </cell>
        </row>
        <row r="925">
          <cell r="D925">
            <v>4</v>
          </cell>
          <cell r="E925">
            <v>8.360513E-3</v>
          </cell>
          <cell r="F925" t="str">
            <v>Gas</v>
          </cell>
        </row>
        <row r="926">
          <cell r="D926">
            <v>4</v>
          </cell>
          <cell r="E926">
            <v>5.1399840000000002E-4</v>
          </cell>
          <cell r="F926" t="str">
            <v>Gas</v>
          </cell>
        </row>
        <row r="927">
          <cell r="D927">
            <v>4</v>
          </cell>
          <cell r="E927">
            <v>1.9261770000000001E-2</v>
          </cell>
          <cell r="F927" t="str">
            <v>Gas</v>
          </cell>
        </row>
        <row r="928">
          <cell r="D928">
            <v>4</v>
          </cell>
          <cell r="E928">
            <v>1.8084570000000001E-2</v>
          </cell>
          <cell r="F928" t="str">
            <v>Gas</v>
          </cell>
        </row>
        <row r="929">
          <cell r="D929">
            <v>4</v>
          </cell>
          <cell r="E929">
            <v>9.9352170000000005E-4</v>
          </cell>
          <cell r="F929" t="str">
            <v>Gas</v>
          </cell>
        </row>
        <row r="930">
          <cell r="D930">
            <v>4</v>
          </cell>
          <cell r="E930">
            <v>5.2078319999999999E-3</v>
          </cell>
          <cell r="F930" t="str">
            <v>Gas</v>
          </cell>
        </row>
        <row r="931">
          <cell r="D931">
            <v>4</v>
          </cell>
          <cell r="E931">
            <v>3.08469E-2</v>
          </cell>
          <cell r="F931" t="str">
            <v>Gas</v>
          </cell>
        </row>
        <row r="932">
          <cell r="D932">
            <v>4</v>
          </cell>
          <cell r="E932">
            <v>0.10130119999999999</v>
          </cell>
          <cell r="F932" t="str">
            <v>Gas</v>
          </cell>
        </row>
        <row r="933">
          <cell r="D933">
            <v>4</v>
          </cell>
          <cell r="E933">
            <v>9.5702480000000006E-2</v>
          </cell>
          <cell r="F933" t="str">
            <v>Gas</v>
          </cell>
        </row>
        <row r="934">
          <cell r="D934">
            <v>5</v>
          </cell>
          <cell r="E934">
            <v>2.4525430000000002E-3</v>
          </cell>
          <cell r="F934" t="str">
            <v>Gas</v>
          </cell>
        </row>
        <row r="935">
          <cell r="D935">
            <v>5</v>
          </cell>
          <cell r="E935">
            <v>1.2885819999999999E-2</v>
          </cell>
          <cell r="F935" t="str">
            <v>Gas</v>
          </cell>
        </row>
        <row r="936">
          <cell r="D936">
            <v>5</v>
          </cell>
          <cell r="E936">
            <v>3.1095089999999999E-3</v>
          </cell>
          <cell r="F936" t="str">
            <v>Gas</v>
          </cell>
        </row>
        <row r="937">
          <cell r="D937">
            <v>5</v>
          </cell>
          <cell r="E937">
            <v>1.7938920000000001E-3</v>
          </cell>
          <cell r="F937" t="str">
            <v>Gas</v>
          </cell>
        </row>
        <row r="938">
          <cell r="D938">
            <v>5</v>
          </cell>
          <cell r="E938">
            <v>0.1570115</v>
          </cell>
          <cell r="F938" t="str">
            <v>Gas</v>
          </cell>
        </row>
        <row r="939">
          <cell r="D939">
            <v>5</v>
          </cell>
          <cell r="E939">
            <v>0.1088088</v>
          </cell>
          <cell r="F939" t="str">
            <v>Gas</v>
          </cell>
        </row>
        <row r="940">
          <cell r="D940">
            <v>5</v>
          </cell>
          <cell r="E940">
            <v>3.1178339999999999E-3</v>
          </cell>
          <cell r="F940" t="str">
            <v>Gas</v>
          </cell>
        </row>
        <row r="941">
          <cell r="D941">
            <v>5</v>
          </cell>
          <cell r="E941">
            <v>2.453149E-3</v>
          </cell>
          <cell r="F941" t="str">
            <v>Gas</v>
          </cell>
        </row>
        <row r="942">
          <cell r="D942">
            <v>5</v>
          </cell>
          <cell r="E942">
            <v>4.9062489999999997E-3</v>
          </cell>
          <cell r="F942" t="str">
            <v>Gas</v>
          </cell>
        </row>
        <row r="943">
          <cell r="D943">
            <v>5</v>
          </cell>
          <cell r="E943">
            <v>2.453149E-3</v>
          </cell>
          <cell r="F943" t="str">
            <v>Gas</v>
          </cell>
        </row>
        <row r="944">
          <cell r="D944">
            <v>5</v>
          </cell>
          <cell r="E944">
            <v>2.455324E-3</v>
          </cell>
          <cell r="F944" t="str">
            <v>Gas</v>
          </cell>
        </row>
        <row r="945">
          <cell r="D945">
            <v>5</v>
          </cell>
          <cell r="E945">
            <v>2.043728E-5</v>
          </cell>
          <cell r="F945" t="str">
            <v>Gas</v>
          </cell>
        </row>
        <row r="946">
          <cell r="D946">
            <v>5</v>
          </cell>
          <cell r="E946">
            <v>1.177888E-2</v>
          </cell>
          <cell r="F946" t="str">
            <v>Gas</v>
          </cell>
        </row>
        <row r="947">
          <cell r="D947">
            <v>5</v>
          </cell>
          <cell r="E947">
            <v>0.1140082</v>
          </cell>
          <cell r="F947" t="str">
            <v>Gas</v>
          </cell>
        </row>
        <row r="948">
          <cell r="D948">
            <v>5</v>
          </cell>
          <cell r="E948">
            <v>9.3924769999999996E-4</v>
          </cell>
          <cell r="F948" t="str">
            <v>Gas</v>
          </cell>
        </row>
        <row r="949">
          <cell r="D949">
            <v>5</v>
          </cell>
          <cell r="E949">
            <v>5.1467340000000002E-4</v>
          </cell>
          <cell r="F949" t="str">
            <v>Gas</v>
          </cell>
        </row>
        <row r="950">
          <cell r="D950">
            <v>5</v>
          </cell>
          <cell r="E950">
            <v>1.62641E-3</v>
          </cell>
          <cell r="F950" t="str">
            <v>Gas</v>
          </cell>
        </row>
        <row r="951">
          <cell r="D951">
            <v>5</v>
          </cell>
          <cell r="E951">
            <v>1.9734330000000001E-3</v>
          </cell>
          <cell r="F951" t="str">
            <v>Gas</v>
          </cell>
        </row>
        <row r="952">
          <cell r="D952">
            <v>5</v>
          </cell>
          <cell r="E952">
            <v>2.5728559999999999E-4</v>
          </cell>
          <cell r="F952" t="str">
            <v>Gas</v>
          </cell>
        </row>
        <row r="953">
          <cell r="D953">
            <v>5</v>
          </cell>
          <cell r="E953">
            <v>4.6328799999999998E-3</v>
          </cell>
          <cell r="F953" t="str">
            <v>Gas</v>
          </cell>
        </row>
        <row r="954">
          <cell r="D954">
            <v>5</v>
          </cell>
          <cell r="E954">
            <v>6.9951139999999995E-2</v>
          </cell>
          <cell r="F954" t="str">
            <v>Gas</v>
          </cell>
        </row>
        <row r="955">
          <cell r="D955">
            <v>5</v>
          </cell>
          <cell r="E955">
            <v>1.2180119999999999E-2</v>
          </cell>
          <cell r="F955" t="str">
            <v>Gas</v>
          </cell>
        </row>
        <row r="956">
          <cell r="D956">
            <v>5</v>
          </cell>
          <cell r="E956">
            <v>2.926933E-2</v>
          </cell>
          <cell r="F956" t="str">
            <v>Gas</v>
          </cell>
        </row>
        <row r="957">
          <cell r="D957">
            <v>5</v>
          </cell>
          <cell r="E957">
            <v>1.784695E-3</v>
          </cell>
          <cell r="F957" t="str">
            <v>Gas</v>
          </cell>
        </row>
        <row r="958">
          <cell r="D958">
            <v>5</v>
          </cell>
          <cell r="E958">
            <v>4.124796E-3</v>
          </cell>
          <cell r="F958" t="str">
            <v>Gas</v>
          </cell>
        </row>
        <row r="959">
          <cell r="D959">
            <v>5</v>
          </cell>
          <cell r="E959">
            <v>1.0973460000000001E-2</v>
          </cell>
          <cell r="F959" t="str">
            <v>Gas</v>
          </cell>
        </row>
        <row r="960">
          <cell r="D960">
            <v>5</v>
          </cell>
          <cell r="E960">
            <v>6.4205149999999999E-3</v>
          </cell>
          <cell r="F960" t="str">
            <v>Gas</v>
          </cell>
        </row>
        <row r="961">
          <cell r="D961">
            <v>5</v>
          </cell>
          <cell r="E961">
            <v>0.1616901</v>
          </cell>
          <cell r="F961" t="str">
            <v>Gas</v>
          </cell>
        </row>
        <row r="962">
          <cell r="D962">
            <v>5</v>
          </cell>
          <cell r="E962">
            <v>0.1029308</v>
          </cell>
          <cell r="F962" t="str">
            <v>Gas</v>
          </cell>
        </row>
        <row r="963">
          <cell r="D963">
            <v>5</v>
          </cell>
          <cell r="E963">
            <v>1.6915079999999999E-2</v>
          </cell>
          <cell r="F963" t="str">
            <v>Gas</v>
          </cell>
        </row>
        <row r="964">
          <cell r="D964">
            <v>5</v>
          </cell>
          <cell r="E964">
            <v>7.7414429999999998E-3</v>
          </cell>
          <cell r="F964" t="str">
            <v>Gas</v>
          </cell>
        </row>
        <row r="965">
          <cell r="D965">
            <v>6</v>
          </cell>
          <cell r="E965">
            <v>2.4526399999999999E-3</v>
          </cell>
          <cell r="F965" t="str">
            <v>Gas</v>
          </cell>
        </row>
        <row r="966">
          <cell r="D966">
            <v>6</v>
          </cell>
          <cell r="E966">
            <v>6.218955E-3</v>
          </cell>
          <cell r="F966" t="str">
            <v>Gas</v>
          </cell>
        </row>
        <row r="967">
          <cell r="D967">
            <v>6</v>
          </cell>
          <cell r="E967">
            <v>3.109447E-3</v>
          </cell>
          <cell r="F967" t="str">
            <v>Gas</v>
          </cell>
        </row>
        <row r="968">
          <cell r="D968">
            <v>6</v>
          </cell>
          <cell r="E968">
            <v>5.9779659999999998E-2</v>
          </cell>
          <cell r="F968" t="str">
            <v>Gas</v>
          </cell>
        </row>
        <row r="969">
          <cell r="D969">
            <v>6</v>
          </cell>
          <cell r="E969">
            <v>1.5282550000000001E-2</v>
          </cell>
          <cell r="F969" t="str">
            <v>Gas</v>
          </cell>
        </row>
        <row r="970">
          <cell r="D970">
            <v>6</v>
          </cell>
          <cell r="E970">
            <v>2.4532099999999999E-3</v>
          </cell>
          <cell r="F970" t="str">
            <v>Gas</v>
          </cell>
        </row>
        <row r="971">
          <cell r="D971">
            <v>6</v>
          </cell>
          <cell r="E971">
            <v>1.3080419999999999E-3</v>
          </cell>
          <cell r="F971" t="str">
            <v>Gas</v>
          </cell>
        </row>
        <row r="972">
          <cell r="D972">
            <v>6</v>
          </cell>
          <cell r="E972">
            <v>3.759038E-2</v>
          </cell>
          <cell r="F972" t="str">
            <v>Gas</v>
          </cell>
        </row>
        <row r="973">
          <cell r="D973">
            <v>6</v>
          </cell>
          <cell r="E973">
            <v>2.4530820000000001E-3</v>
          </cell>
          <cell r="F973" t="str">
            <v>Gas</v>
          </cell>
        </row>
        <row r="974">
          <cell r="D974">
            <v>6</v>
          </cell>
          <cell r="E974">
            <v>9.4763449999999999E-2</v>
          </cell>
          <cell r="F974" t="str">
            <v>Gas</v>
          </cell>
        </row>
        <row r="975">
          <cell r="D975">
            <v>6</v>
          </cell>
          <cell r="E975">
            <v>1.9677480000000001E-2</v>
          </cell>
          <cell r="F975" t="str">
            <v>Gas</v>
          </cell>
        </row>
        <row r="976">
          <cell r="D976">
            <v>6</v>
          </cell>
          <cell r="E976">
            <v>6.291736E-4</v>
          </cell>
          <cell r="F976" t="str">
            <v>Gas</v>
          </cell>
        </row>
        <row r="977">
          <cell r="D977">
            <v>6</v>
          </cell>
          <cell r="E977">
            <v>1.7167230000000001E-3</v>
          </cell>
          <cell r="F977" t="str">
            <v>Gas</v>
          </cell>
        </row>
        <row r="978">
          <cell r="D978">
            <v>6</v>
          </cell>
          <cell r="E978">
            <v>1.4600909999999999E-3</v>
          </cell>
          <cell r="F978" t="str">
            <v>Gas</v>
          </cell>
        </row>
        <row r="979">
          <cell r="D979">
            <v>6</v>
          </cell>
          <cell r="E979">
            <v>1.1441419999999999E-3</v>
          </cell>
          <cell r="F979" t="str">
            <v>Gas</v>
          </cell>
        </row>
        <row r="980">
          <cell r="D980">
            <v>6</v>
          </cell>
          <cell r="E980">
            <v>5.3400340000000004E-4</v>
          </cell>
          <cell r="F980" t="str">
            <v>Gas</v>
          </cell>
        </row>
        <row r="981">
          <cell r="D981">
            <v>6</v>
          </cell>
          <cell r="E981">
            <v>8.406284E-3</v>
          </cell>
          <cell r="F981" t="str">
            <v>Gas</v>
          </cell>
        </row>
        <row r="982">
          <cell r="D982">
            <v>6</v>
          </cell>
          <cell r="E982">
            <v>6.0899810000000004E-3</v>
          </cell>
          <cell r="F982" t="str">
            <v>Gas</v>
          </cell>
        </row>
        <row r="983">
          <cell r="D983">
            <v>6</v>
          </cell>
          <cell r="E983">
            <v>2.3949870000000002E-2</v>
          </cell>
          <cell r="F983" t="str">
            <v>Gas</v>
          </cell>
        </row>
        <row r="984">
          <cell r="D984">
            <v>6</v>
          </cell>
          <cell r="E984">
            <v>2.3402269999999998E-3</v>
          </cell>
          <cell r="F984" t="str">
            <v>Gas</v>
          </cell>
        </row>
        <row r="985">
          <cell r="D985">
            <v>6</v>
          </cell>
          <cell r="E985">
            <v>3.731322E-3</v>
          </cell>
          <cell r="F985" t="str">
            <v>Gas</v>
          </cell>
        </row>
        <row r="986">
          <cell r="D986">
            <v>6</v>
          </cell>
          <cell r="E986">
            <v>4.4651299999999998E-2</v>
          </cell>
          <cell r="F986" t="str">
            <v>Gas</v>
          </cell>
        </row>
        <row r="987">
          <cell r="D987">
            <v>6</v>
          </cell>
          <cell r="E987">
            <v>2.9379950000000001E-3</v>
          </cell>
          <cell r="F987" t="str">
            <v>Gas</v>
          </cell>
        </row>
        <row r="988">
          <cell r="D988">
            <v>6</v>
          </cell>
          <cell r="E988">
            <v>5.6382790000000004E-3</v>
          </cell>
          <cell r="F988" t="str">
            <v>Gas</v>
          </cell>
        </row>
        <row r="989">
          <cell r="D989">
            <v>0</v>
          </cell>
          <cell r="E989">
            <v>1.812447E-4</v>
          </cell>
          <cell r="F989" t="str">
            <v>Gas</v>
          </cell>
        </row>
        <row r="990">
          <cell r="D990">
            <v>0</v>
          </cell>
          <cell r="E990">
            <v>7.3898110000000003E-2</v>
          </cell>
          <cell r="F990" t="str">
            <v>Gas</v>
          </cell>
        </row>
        <row r="991">
          <cell r="D991">
            <v>0</v>
          </cell>
          <cell r="E991">
            <v>0.25541449999999999</v>
          </cell>
          <cell r="F991" t="str">
            <v>Gas</v>
          </cell>
        </row>
        <row r="992">
          <cell r="D992">
            <v>0</v>
          </cell>
          <cell r="E992">
            <v>5.8759529999999997E-2</v>
          </cell>
          <cell r="F992" t="str">
            <v>Gas</v>
          </cell>
        </row>
        <row r="993">
          <cell r="D993">
            <v>1</v>
          </cell>
          <cell r="E993">
            <v>1.8650699999999999E-2</v>
          </cell>
          <cell r="F993" t="str">
            <v>Gas</v>
          </cell>
        </row>
        <row r="994">
          <cell r="D994">
            <v>1</v>
          </cell>
          <cell r="E994">
            <v>7.1494349999999998E-2</v>
          </cell>
          <cell r="F994" t="str">
            <v>Gas</v>
          </cell>
        </row>
        <row r="995">
          <cell r="D995">
            <v>1</v>
          </cell>
          <cell r="E995">
            <v>9.3253490000000001E-3</v>
          </cell>
          <cell r="F995" t="str">
            <v>Gas</v>
          </cell>
        </row>
        <row r="996">
          <cell r="D996">
            <v>1</v>
          </cell>
          <cell r="E996">
            <v>0.44140010000000002</v>
          </cell>
          <cell r="F996" t="str">
            <v>Gas</v>
          </cell>
        </row>
        <row r="997">
          <cell r="D997">
            <v>1</v>
          </cell>
          <cell r="E997">
            <v>1.8905620000000001E-2</v>
          </cell>
          <cell r="F997" t="str">
            <v>Gas</v>
          </cell>
        </row>
        <row r="998">
          <cell r="D998">
            <v>1</v>
          </cell>
          <cell r="E998">
            <v>3.9138510000000001E-2</v>
          </cell>
          <cell r="F998" t="str">
            <v>Gas</v>
          </cell>
        </row>
        <row r="999">
          <cell r="D999">
            <v>1</v>
          </cell>
          <cell r="E999">
            <v>1.647349E-3</v>
          </cell>
          <cell r="F999" t="str">
            <v>Gas</v>
          </cell>
        </row>
        <row r="1000">
          <cell r="D1000">
            <v>1</v>
          </cell>
          <cell r="E1000">
            <v>2.9446950000000002E-3</v>
          </cell>
          <cell r="F1000" t="str">
            <v>Gas</v>
          </cell>
        </row>
        <row r="1001">
          <cell r="D1001">
            <v>1</v>
          </cell>
          <cell r="E1001">
            <v>9.2505059999999995E-4</v>
          </cell>
          <cell r="F1001" t="str">
            <v>Gas</v>
          </cell>
        </row>
        <row r="1002">
          <cell r="D1002">
            <v>1</v>
          </cell>
          <cell r="E1002">
            <v>2.479069E-3</v>
          </cell>
          <cell r="F1002" t="str">
            <v>Gas</v>
          </cell>
        </row>
        <row r="1003">
          <cell r="D1003">
            <v>1</v>
          </cell>
          <cell r="E1003">
            <v>2.22251E-3</v>
          </cell>
          <cell r="F1003" t="str">
            <v>Gas</v>
          </cell>
        </row>
        <row r="1004">
          <cell r="D1004">
            <v>1</v>
          </cell>
          <cell r="E1004">
            <v>3.5198909999999998E-3</v>
          </cell>
          <cell r="F1004" t="str">
            <v>Gas</v>
          </cell>
        </row>
        <row r="1005">
          <cell r="D1005">
            <v>1</v>
          </cell>
          <cell r="E1005">
            <v>6.8264529999999997E-3</v>
          </cell>
          <cell r="F1005" t="str">
            <v>Gas</v>
          </cell>
        </row>
        <row r="1006">
          <cell r="D1006">
            <v>1</v>
          </cell>
          <cell r="E1006">
            <v>1.225804E-2</v>
          </cell>
          <cell r="F1006" t="str">
            <v>Gas</v>
          </cell>
        </row>
        <row r="1007">
          <cell r="D1007">
            <v>1</v>
          </cell>
          <cell r="E1007">
            <v>7.3548650000000004E-3</v>
          </cell>
          <cell r="F1007" t="str">
            <v>Gas</v>
          </cell>
        </row>
        <row r="1008">
          <cell r="D1008">
            <v>1</v>
          </cell>
          <cell r="E1008">
            <v>0.16327079999999999</v>
          </cell>
          <cell r="F1008" t="str">
            <v>Gas</v>
          </cell>
        </row>
        <row r="1009">
          <cell r="D1009">
            <v>2</v>
          </cell>
          <cell r="E1009">
            <v>5.9060649999999999E-2</v>
          </cell>
          <cell r="F1009" t="str">
            <v>Gas</v>
          </cell>
        </row>
        <row r="1010">
          <cell r="D1010">
            <v>2</v>
          </cell>
          <cell r="E1010">
            <v>1.554229E-2</v>
          </cell>
          <cell r="F1010" t="str">
            <v>Gas</v>
          </cell>
        </row>
        <row r="1011">
          <cell r="D1011">
            <v>2</v>
          </cell>
          <cell r="E1011">
            <v>9.3253520000000003E-3</v>
          </cell>
          <cell r="F1011" t="str">
            <v>Gas</v>
          </cell>
        </row>
        <row r="1012">
          <cell r="D1012">
            <v>2</v>
          </cell>
          <cell r="E1012">
            <v>3.108408E-3</v>
          </cell>
          <cell r="F1012" t="str">
            <v>Gas</v>
          </cell>
        </row>
        <row r="1013">
          <cell r="D1013">
            <v>2</v>
          </cell>
          <cell r="E1013">
            <v>3.1084699999999999E-3</v>
          </cell>
          <cell r="F1013" t="str">
            <v>Gas</v>
          </cell>
        </row>
        <row r="1014">
          <cell r="D1014">
            <v>2</v>
          </cell>
          <cell r="E1014">
            <v>3.1084699999999999E-3</v>
          </cell>
          <cell r="F1014" t="str">
            <v>Gas</v>
          </cell>
        </row>
        <row r="1015">
          <cell r="D1015">
            <v>2</v>
          </cell>
          <cell r="E1015">
            <v>4.3175760000000001E-3</v>
          </cell>
          <cell r="F1015" t="str">
            <v>Gas</v>
          </cell>
        </row>
        <row r="1016">
          <cell r="D1016">
            <v>2</v>
          </cell>
          <cell r="E1016">
            <v>6.9289360000000001E-3</v>
          </cell>
          <cell r="F1016" t="str">
            <v>Gas</v>
          </cell>
        </row>
        <row r="1017">
          <cell r="D1017">
            <v>2</v>
          </cell>
          <cell r="E1017">
            <v>1.9939129999999999E-2</v>
          </cell>
          <cell r="F1017" t="str">
            <v>Gas</v>
          </cell>
        </row>
        <row r="1018">
          <cell r="D1018">
            <v>2</v>
          </cell>
          <cell r="E1018">
            <v>2.3370320000000002E-3</v>
          </cell>
          <cell r="F1018" t="str">
            <v>Gas</v>
          </cell>
        </row>
        <row r="1019">
          <cell r="D1019">
            <v>2</v>
          </cell>
          <cell r="E1019">
            <v>3.9903880000000003E-2</v>
          </cell>
          <cell r="F1019" t="str">
            <v>Gas</v>
          </cell>
        </row>
        <row r="1020">
          <cell r="D1020">
            <v>2</v>
          </cell>
          <cell r="E1020">
            <v>2.0187819999999999E-2</v>
          </cell>
          <cell r="F1020" t="str">
            <v>Gas</v>
          </cell>
        </row>
        <row r="1021">
          <cell r="D1021">
            <v>2</v>
          </cell>
          <cell r="E1021">
            <v>1.21952E-3</v>
          </cell>
          <cell r="F1021" t="str">
            <v>Gas</v>
          </cell>
        </row>
        <row r="1022">
          <cell r="D1022">
            <v>2</v>
          </cell>
          <cell r="E1022">
            <v>2.4790200000000002E-3</v>
          </cell>
          <cell r="F1022" t="str">
            <v>Gas</v>
          </cell>
        </row>
        <row r="1023">
          <cell r="D1023">
            <v>2</v>
          </cell>
          <cell r="E1023">
            <v>4.4265879999999998E-6</v>
          </cell>
          <cell r="F1023" t="str">
            <v>Gas</v>
          </cell>
        </row>
        <row r="1024">
          <cell r="D1024">
            <v>2</v>
          </cell>
          <cell r="E1024">
            <v>2.4515890000000001E-3</v>
          </cell>
          <cell r="F1024" t="str">
            <v>Gas</v>
          </cell>
        </row>
        <row r="1025">
          <cell r="D1025">
            <v>2</v>
          </cell>
          <cell r="E1025">
            <v>2.2064690000000001E-2</v>
          </cell>
          <cell r="F1025" t="str">
            <v>Gas</v>
          </cell>
        </row>
        <row r="1026">
          <cell r="D1026">
            <v>2</v>
          </cell>
          <cell r="E1026">
            <v>8.7696919999999998E-2</v>
          </cell>
          <cell r="F1026" t="str">
            <v>Gas</v>
          </cell>
        </row>
        <row r="1027">
          <cell r="D1027">
            <v>2</v>
          </cell>
          <cell r="E1027">
            <v>3.163374E-2</v>
          </cell>
          <cell r="F1027" t="str">
            <v>Gas</v>
          </cell>
        </row>
        <row r="1028">
          <cell r="D1028">
            <v>2</v>
          </cell>
          <cell r="E1028">
            <v>4.817871E-2</v>
          </cell>
          <cell r="F1028" t="str">
            <v>Gas</v>
          </cell>
        </row>
        <row r="1029">
          <cell r="D1029">
            <v>2</v>
          </cell>
          <cell r="E1029">
            <v>5.8884039999999999E-2</v>
          </cell>
          <cell r="F1029" t="str">
            <v>Gas</v>
          </cell>
        </row>
        <row r="1030">
          <cell r="D1030">
            <v>3</v>
          </cell>
          <cell r="E1030">
            <v>3.4192939999999998E-2</v>
          </cell>
          <cell r="F1030" t="str">
            <v>Gas</v>
          </cell>
        </row>
        <row r="1031">
          <cell r="D1031">
            <v>3</v>
          </cell>
          <cell r="E1031">
            <v>3.1084699999999999E-3</v>
          </cell>
          <cell r="F1031" t="str">
            <v>Gas</v>
          </cell>
        </row>
        <row r="1032">
          <cell r="D1032">
            <v>3</v>
          </cell>
          <cell r="E1032">
            <v>3.1084699999999999E-3</v>
          </cell>
          <cell r="F1032" t="str">
            <v>Gas</v>
          </cell>
        </row>
        <row r="1033">
          <cell r="D1033">
            <v>3</v>
          </cell>
          <cell r="E1033">
            <v>1.243376E-2</v>
          </cell>
          <cell r="F1033" t="str">
            <v>Gas</v>
          </cell>
        </row>
        <row r="1034">
          <cell r="D1034">
            <v>3</v>
          </cell>
          <cell r="E1034">
            <v>9.6582779999999993E-3</v>
          </cell>
          <cell r="F1034" t="str">
            <v>Gas</v>
          </cell>
        </row>
        <row r="1035">
          <cell r="D1035">
            <v>3</v>
          </cell>
          <cell r="E1035">
            <v>9.1388379999999998E-3</v>
          </cell>
          <cell r="F1035" t="str">
            <v>Gas</v>
          </cell>
        </row>
        <row r="1036">
          <cell r="D1036">
            <v>3</v>
          </cell>
          <cell r="E1036">
            <v>6.0761059999999995E-4</v>
          </cell>
          <cell r="F1036" t="str">
            <v>Gas</v>
          </cell>
        </row>
        <row r="1037">
          <cell r="D1037">
            <v>3</v>
          </cell>
          <cell r="E1037">
            <v>3.1401939999999999E-4</v>
          </cell>
          <cell r="F1037" t="str">
            <v>Gas</v>
          </cell>
        </row>
        <row r="1038">
          <cell r="D1038">
            <v>3</v>
          </cell>
          <cell r="E1038">
            <v>2.4790189999999998E-3</v>
          </cell>
          <cell r="F1038" t="str">
            <v>Gas</v>
          </cell>
        </row>
        <row r="1039">
          <cell r="D1039">
            <v>3</v>
          </cell>
          <cell r="E1039">
            <v>4.3091140000000002E-3</v>
          </cell>
          <cell r="F1039" t="str">
            <v>Gas</v>
          </cell>
        </row>
        <row r="1040">
          <cell r="D1040">
            <v>3</v>
          </cell>
          <cell r="E1040">
            <v>3.2191609999999999E-3</v>
          </cell>
          <cell r="F1040" t="str">
            <v>Gas</v>
          </cell>
        </row>
        <row r="1041">
          <cell r="D1041">
            <v>3</v>
          </cell>
          <cell r="E1041">
            <v>3.2145810000000002E-3</v>
          </cell>
          <cell r="F1041" t="str">
            <v>Gas</v>
          </cell>
        </row>
        <row r="1042">
          <cell r="D1042">
            <v>3</v>
          </cell>
          <cell r="E1042">
            <v>7.3548650000000004E-3</v>
          </cell>
          <cell r="F1042" t="str">
            <v>Gas</v>
          </cell>
        </row>
        <row r="1043">
          <cell r="D1043">
            <v>3</v>
          </cell>
          <cell r="E1043">
            <v>1.225804E-2</v>
          </cell>
          <cell r="F1043" t="str">
            <v>Gas</v>
          </cell>
        </row>
        <row r="1044">
          <cell r="D1044">
            <v>3</v>
          </cell>
          <cell r="E1044">
            <v>5.8464989999999998E-3</v>
          </cell>
          <cell r="F1044" t="str">
            <v>Gas</v>
          </cell>
        </row>
        <row r="1045">
          <cell r="D1045">
            <v>3</v>
          </cell>
          <cell r="E1045">
            <v>2.9232469999999999E-3</v>
          </cell>
          <cell r="F1045" t="str">
            <v>Gas</v>
          </cell>
        </row>
        <row r="1046">
          <cell r="D1046">
            <v>3</v>
          </cell>
          <cell r="E1046">
            <v>8.5148949999999998E-3</v>
          </cell>
          <cell r="F1046" t="str">
            <v>Gas</v>
          </cell>
        </row>
        <row r="1047">
          <cell r="D1047">
            <v>3</v>
          </cell>
          <cell r="E1047">
            <v>2.6765479999999999E-3</v>
          </cell>
          <cell r="F1047" t="str">
            <v>Gas</v>
          </cell>
        </row>
        <row r="1048">
          <cell r="D1048">
            <v>3</v>
          </cell>
          <cell r="E1048">
            <v>5.0855499999999998E-2</v>
          </cell>
          <cell r="F1048" t="str">
            <v>Gas</v>
          </cell>
        </row>
        <row r="1049">
          <cell r="D1049">
            <v>3</v>
          </cell>
          <cell r="E1049">
            <v>3.7471539999999998E-2</v>
          </cell>
          <cell r="F1049" t="str">
            <v>Gas</v>
          </cell>
        </row>
        <row r="1050">
          <cell r="D1050">
            <v>4</v>
          </cell>
          <cell r="E1050">
            <v>1.55423E-2</v>
          </cell>
          <cell r="F1050" t="str">
            <v>Gas</v>
          </cell>
        </row>
        <row r="1051">
          <cell r="D1051">
            <v>4</v>
          </cell>
          <cell r="E1051">
            <v>3.1084699999999999E-3</v>
          </cell>
          <cell r="F1051" t="str">
            <v>Gas</v>
          </cell>
        </row>
        <row r="1052">
          <cell r="D1052">
            <v>4</v>
          </cell>
          <cell r="E1052">
            <v>9.5019079999999999E-3</v>
          </cell>
          <cell r="F1052" t="str">
            <v>Gas</v>
          </cell>
        </row>
        <row r="1053">
          <cell r="D1053">
            <v>4</v>
          </cell>
          <cell r="E1053">
            <v>3.1280890000000001E-3</v>
          </cell>
          <cell r="F1053" t="str">
            <v>Gas</v>
          </cell>
        </row>
        <row r="1054">
          <cell r="D1054">
            <v>4</v>
          </cell>
          <cell r="E1054">
            <v>2.47897E-3</v>
          </cell>
          <cell r="F1054" t="str">
            <v>Gas</v>
          </cell>
        </row>
        <row r="1055">
          <cell r="D1055">
            <v>4</v>
          </cell>
          <cell r="E1055">
            <v>6.3693769999999999E-3</v>
          </cell>
          <cell r="F1055" t="str">
            <v>Gas</v>
          </cell>
        </row>
        <row r="1056">
          <cell r="D1056">
            <v>4</v>
          </cell>
          <cell r="E1056">
            <v>2.4515890000000001E-3</v>
          </cell>
          <cell r="F1056" t="str">
            <v>Gas</v>
          </cell>
        </row>
        <row r="1057">
          <cell r="D1057">
            <v>4</v>
          </cell>
          <cell r="E1057">
            <v>9.8065519999999996E-3</v>
          </cell>
          <cell r="F1057" t="str">
            <v>Gas</v>
          </cell>
        </row>
        <row r="1058">
          <cell r="D1058">
            <v>4</v>
          </cell>
          <cell r="E1058">
            <v>3.493075E-3</v>
          </cell>
          <cell r="F1058" t="str">
            <v>Gas</v>
          </cell>
        </row>
        <row r="1059">
          <cell r="D1059">
            <v>4</v>
          </cell>
          <cell r="E1059">
            <v>2.923171E-3</v>
          </cell>
          <cell r="F1059" t="str">
            <v>Gas</v>
          </cell>
        </row>
        <row r="1060">
          <cell r="D1060">
            <v>4</v>
          </cell>
          <cell r="E1060">
            <v>7.762173E-2</v>
          </cell>
          <cell r="F1060" t="str">
            <v>Gas</v>
          </cell>
        </row>
        <row r="1061">
          <cell r="D1061">
            <v>4</v>
          </cell>
          <cell r="E1061">
            <v>5.352969E-3</v>
          </cell>
          <cell r="F1061" t="str">
            <v>Gas</v>
          </cell>
        </row>
        <row r="1062">
          <cell r="D1062">
            <v>4</v>
          </cell>
          <cell r="E1062">
            <v>6.9592409999999993E-2</v>
          </cell>
          <cell r="F1062" t="str">
            <v>Gas</v>
          </cell>
        </row>
        <row r="1063">
          <cell r="D1063">
            <v>5</v>
          </cell>
          <cell r="E1063">
            <v>2.1759179999999999E-2</v>
          </cell>
          <cell r="F1063" t="str">
            <v>Gas</v>
          </cell>
        </row>
        <row r="1064">
          <cell r="D1064">
            <v>5</v>
          </cell>
          <cell r="E1064">
            <v>1.6583669999999998E-2</v>
          </cell>
          <cell r="F1064" t="str">
            <v>Gas</v>
          </cell>
        </row>
        <row r="1065">
          <cell r="D1065">
            <v>5</v>
          </cell>
          <cell r="E1065">
            <v>2.479069E-3</v>
          </cell>
          <cell r="F1065" t="str">
            <v>Gas</v>
          </cell>
        </row>
        <row r="1066">
          <cell r="D1066">
            <v>5</v>
          </cell>
          <cell r="E1066">
            <v>3.2878019999999998E-3</v>
          </cell>
          <cell r="F1066" t="str">
            <v>Gas</v>
          </cell>
        </row>
        <row r="1067">
          <cell r="D1067">
            <v>5</v>
          </cell>
          <cell r="E1067">
            <v>2.4516870000000001E-3</v>
          </cell>
          <cell r="F1067" t="str">
            <v>Gas</v>
          </cell>
        </row>
        <row r="1068">
          <cell r="D1068">
            <v>5</v>
          </cell>
          <cell r="E1068">
            <v>7.3667819999999997E-3</v>
          </cell>
          <cell r="F1068" t="str">
            <v>Gas</v>
          </cell>
        </row>
        <row r="1069">
          <cell r="D1069">
            <v>5</v>
          </cell>
          <cell r="E1069">
            <v>2.4515890000000001E-3</v>
          </cell>
          <cell r="F1069" t="str">
            <v>Gas</v>
          </cell>
        </row>
        <row r="1070">
          <cell r="D1070">
            <v>5</v>
          </cell>
          <cell r="E1070">
            <v>0.161139</v>
          </cell>
          <cell r="F1070" t="str">
            <v>Gas</v>
          </cell>
        </row>
        <row r="1071">
          <cell r="D1071">
            <v>5</v>
          </cell>
          <cell r="E1071">
            <v>5.2766139999999998E-3</v>
          </cell>
          <cell r="F1071" t="str">
            <v>Gas</v>
          </cell>
        </row>
        <row r="1072">
          <cell r="D1072">
            <v>5</v>
          </cell>
          <cell r="E1072">
            <v>5.8464570000000002E-3</v>
          </cell>
          <cell r="F1072" t="str">
            <v>Gas</v>
          </cell>
        </row>
        <row r="1073">
          <cell r="D1073">
            <v>5</v>
          </cell>
          <cell r="E1073">
            <v>0.35709390000000002</v>
          </cell>
          <cell r="F1073" t="str">
            <v>Gas</v>
          </cell>
        </row>
        <row r="1074">
          <cell r="D1074">
            <v>5</v>
          </cell>
          <cell r="E1074">
            <v>5.8883449999999997E-2</v>
          </cell>
          <cell r="F1074" t="str">
            <v>Gas</v>
          </cell>
        </row>
        <row r="1075">
          <cell r="D1075">
            <v>5</v>
          </cell>
          <cell r="E1075">
            <v>2.6995840000000001E-3</v>
          </cell>
          <cell r="F1075" t="str">
            <v>Gas</v>
          </cell>
        </row>
        <row r="1076">
          <cell r="D1076">
            <v>5</v>
          </cell>
          <cell r="E1076">
            <v>2.676529E-3</v>
          </cell>
          <cell r="F1076" t="str">
            <v>Gas</v>
          </cell>
        </row>
        <row r="1077">
          <cell r="D1077">
            <v>5</v>
          </cell>
          <cell r="E1077">
            <v>5.3820979999999997E-2</v>
          </cell>
          <cell r="F1077" t="str">
            <v>Gas</v>
          </cell>
        </row>
        <row r="1078">
          <cell r="D1078">
            <v>5</v>
          </cell>
          <cell r="E1078">
            <v>1.759273E-3</v>
          </cell>
          <cell r="F1078" t="str">
            <v>Gas</v>
          </cell>
        </row>
        <row r="1079">
          <cell r="D1079">
            <v>5</v>
          </cell>
          <cell r="E1079">
            <v>6.2442670000000004E-3</v>
          </cell>
          <cell r="F1079" t="str">
            <v>Gas</v>
          </cell>
        </row>
        <row r="1080">
          <cell r="D1080">
            <v>6</v>
          </cell>
          <cell r="E1080">
            <v>2.797612E-2</v>
          </cell>
          <cell r="F1080" t="str">
            <v>Gas</v>
          </cell>
        </row>
        <row r="1081">
          <cell r="D1081">
            <v>6</v>
          </cell>
          <cell r="E1081">
            <v>7.0484409999999999E-3</v>
          </cell>
          <cell r="F1081" t="str">
            <v>Gas</v>
          </cell>
        </row>
        <row r="1082">
          <cell r="D1082">
            <v>6</v>
          </cell>
          <cell r="E1082">
            <v>1.9691729999999998E-3</v>
          </cell>
          <cell r="F1082" t="str">
            <v>Gas</v>
          </cell>
        </row>
        <row r="1083">
          <cell r="D1083">
            <v>6</v>
          </cell>
          <cell r="E1083">
            <v>2.4790210000000001E-3</v>
          </cell>
          <cell r="F1083" t="str">
            <v>Gas</v>
          </cell>
        </row>
        <row r="1084">
          <cell r="D1084">
            <v>6</v>
          </cell>
          <cell r="E1084">
            <v>2.4790659999999998E-3</v>
          </cell>
          <cell r="F1084" t="str">
            <v>Gas</v>
          </cell>
        </row>
        <row r="1085">
          <cell r="D1085">
            <v>6</v>
          </cell>
          <cell r="E1085">
            <v>2.479017E-3</v>
          </cell>
          <cell r="F1085" t="str">
            <v>Gas</v>
          </cell>
        </row>
        <row r="1086">
          <cell r="D1086">
            <v>6</v>
          </cell>
          <cell r="E1086">
            <v>6.305054E-3</v>
          </cell>
          <cell r="F1086" t="str">
            <v>Gas</v>
          </cell>
        </row>
        <row r="1087">
          <cell r="D1087">
            <v>6</v>
          </cell>
          <cell r="E1087">
            <v>2.480777E-3</v>
          </cell>
          <cell r="F1087" t="str">
            <v>Gas</v>
          </cell>
        </row>
        <row r="1088">
          <cell r="D1088">
            <v>6</v>
          </cell>
          <cell r="E1088">
            <v>9.932827E-3</v>
          </cell>
          <cell r="F1088" t="str">
            <v>Gas</v>
          </cell>
        </row>
        <row r="1089">
          <cell r="D1089">
            <v>6</v>
          </cell>
          <cell r="E1089">
            <v>4.9111709999999998E-3</v>
          </cell>
          <cell r="F1089" t="str">
            <v>Gas</v>
          </cell>
        </row>
        <row r="1090">
          <cell r="D1090">
            <v>6</v>
          </cell>
          <cell r="E1090">
            <v>2.0441589999999998E-3</v>
          </cell>
          <cell r="F1090" t="str">
            <v>Gas</v>
          </cell>
        </row>
        <row r="1091">
          <cell r="D1091">
            <v>6</v>
          </cell>
          <cell r="E1091">
            <v>4.0740710000000003E-3</v>
          </cell>
          <cell r="F1091" t="str">
            <v>Gas</v>
          </cell>
        </row>
        <row r="1092">
          <cell r="D1092">
            <v>6</v>
          </cell>
          <cell r="E1092">
            <v>1.7894210000000001E-2</v>
          </cell>
          <cell r="F1092" t="str">
            <v>Gas</v>
          </cell>
        </row>
        <row r="1093">
          <cell r="D1093">
            <v>6</v>
          </cell>
          <cell r="E1093">
            <v>8.7697360000000002E-3</v>
          </cell>
          <cell r="F1093" t="str">
            <v>Gas</v>
          </cell>
        </row>
        <row r="1094">
          <cell r="D1094">
            <v>6</v>
          </cell>
          <cell r="E1094">
            <v>5.1529089999999998E-3</v>
          </cell>
          <cell r="F1094" t="str">
            <v>Gas</v>
          </cell>
        </row>
        <row r="1095">
          <cell r="D1095">
            <v>6</v>
          </cell>
          <cell r="E1095">
            <v>2.141297E-2</v>
          </cell>
          <cell r="F1095" t="str">
            <v>Gas</v>
          </cell>
        </row>
        <row r="1096">
          <cell r="D1096">
            <v>6</v>
          </cell>
          <cell r="E1096">
            <v>7.740083E-3</v>
          </cell>
          <cell r="F1096" t="str">
            <v>Gas</v>
          </cell>
        </row>
        <row r="1097">
          <cell r="D1097">
            <v>6</v>
          </cell>
          <cell r="E1097">
            <v>1.3118029999999999E-2</v>
          </cell>
          <cell r="F1097" t="str">
            <v>Gas</v>
          </cell>
        </row>
        <row r="1098">
          <cell r="D1098">
            <v>0</v>
          </cell>
          <cell r="E1098">
            <v>1.790858E-4</v>
          </cell>
          <cell r="F1098" t="str">
            <v>Gas</v>
          </cell>
        </row>
        <row r="1099">
          <cell r="D1099">
            <v>0</v>
          </cell>
          <cell r="E1099">
            <v>0.21667110000000001</v>
          </cell>
          <cell r="F1099" t="str">
            <v>Gas</v>
          </cell>
        </row>
        <row r="1100">
          <cell r="D1100">
            <v>2</v>
          </cell>
          <cell r="E1100">
            <v>4.5637940000000002E-2</v>
          </cell>
          <cell r="F1100" t="str">
            <v>Gas</v>
          </cell>
        </row>
        <row r="1101">
          <cell r="D1101">
            <v>2</v>
          </cell>
          <cell r="E1101">
            <v>5.2981029999999998E-2</v>
          </cell>
          <cell r="F1101" t="str">
            <v>Gas</v>
          </cell>
        </row>
        <row r="1102">
          <cell r="D1102">
            <v>3</v>
          </cell>
          <cell r="E1102">
            <v>9.5288709999999999E-2</v>
          </cell>
          <cell r="F1102" t="str">
            <v>Gas</v>
          </cell>
        </row>
        <row r="1103">
          <cell r="D1103">
            <v>3</v>
          </cell>
          <cell r="E1103">
            <v>0.14271929999999999</v>
          </cell>
          <cell r="F1103" t="str">
            <v>Gas</v>
          </cell>
        </row>
        <row r="1104">
          <cell r="D1104">
            <v>3</v>
          </cell>
          <cell r="E1104">
            <v>1.135975E-2</v>
          </cell>
          <cell r="F1104" t="str">
            <v>Gas</v>
          </cell>
        </row>
        <row r="1105">
          <cell r="D1105">
            <v>3</v>
          </cell>
          <cell r="E1105">
            <v>3.1104349999999999E-3</v>
          </cell>
          <cell r="F1105" t="str">
            <v>Gas</v>
          </cell>
        </row>
        <row r="1106">
          <cell r="D1106">
            <v>3</v>
          </cell>
          <cell r="E1106">
            <v>5.5803880000000004E-3</v>
          </cell>
          <cell r="F1106" t="str">
            <v>Gas</v>
          </cell>
        </row>
        <row r="1107">
          <cell r="D1107">
            <v>3</v>
          </cell>
          <cell r="E1107">
            <v>8.7244430000000001E-3</v>
          </cell>
          <cell r="F1107" t="str">
            <v>Gas</v>
          </cell>
        </row>
        <row r="1108">
          <cell r="D1108">
            <v>3</v>
          </cell>
          <cell r="E1108">
            <v>0.1006494</v>
          </cell>
          <cell r="F1108" t="str">
            <v>Gas</v>
          </cell>
        </row>
        <row r="1109">
          <cell r="D1109">
            <v>4</v>
          </cell>
          <cell r="E1109">
            <v>2.4537130000000002E-3</v>
          </cell>
          <cell r="F1109" t="str">
            <v>Gas</v>
          </cell>
        </row>
        <row r="1110">
          <cell r="D1110">
            <v>4</v>
          </cell>
          <cell r="E1110">
            <v>5.5631270000000002E-3</v>
          </cell>
          <cell r="F1110" t="str">
            <v>Gas</v>
          </cell>
        </row>
        <row r="1111">
          <cell r="D1111">
            <v>4</v>
          </cell>
          <cell r="E1111">
            <v>3.352725E-3</v>
          </cell>
          <cell r="F1111" t="str">
            <v>Gas</v>
          </cell>
        </row>
        <row r="1112">
          <cell r="D1112">
            <v>4</v>
          </cell>
          <cell r="E1112">
            <v>1.251956E-3</v>
          </cell>
          <cell r="F1112" t="str">
            <v>Gas</v>
          </cell>
        </row>
        <row r="1113">
          <cell r="D1113">
            <v>4</v>
          </cell>
          <cell r="E1113">
            <v>4.9401999999999996E-3</v>
          </cell>
          <cell r="F1113" t="str">
            <v>Gas</v>
          </cell>
        </row>
        <row r="1114">
          <cell r="D1114">
            <v>4</v>
          </cell>
          <cell r="E1114">
            <v>0.13766619999999999</v>
          </cell>
          <cell r="F1114" t="str">
            <v>Gas</v>
          </cell>
        </row>
        <row r="1115">
          <cell r="D1115">
            <v>4</v>
          </cell>
          <cell r="E1115">
            <v>2.0507810000000001E-2</v>
          </cell>
          <cell r="F1115" t="str">
            <v>Gas</v>
          </cell>
        </row>
        <row r="1116">
          <cell r="D1116">
            <v>5</v>
          </cell>
          <cell r="E1116">
            <v>4.9073789999999999E-3</v>
          </cell>
          <cell r="F1116" t="str">
            <v>Gas</v>
          </cell>
        </row>
        <row r="1117">
          <cell r="D1117">
            <v>5</v>
          </cell>
          <cell r="E1117">
            <v>1.71755E-2</v>
          </cell>
          <cell r="F1117" t="str">
            <v>Gas</v>
          </cell>
        </row>
        <row r="1118">
          <cell r="D1118">
            <v>5</v>
          </cell>
          <cell r="E1118">
            <v>1.339537E-2</v>
          </cell>
          <cell r="F1118" t="str">
            <v>Gas</v>
          </cell>
        </row>
        <row r="1119">
          <cell r="D1119">
            <v>5</v>
          </cell>
          <cell r="E1119">
            <v>1.279041E-2</v>
          </cell>
          <cell r="F1119" t="str">
            <v>Gas</v>
          </cell>
        </row>
        <row r="1120">
          <cell r="D1120">
            <v>5</v>
          </cell>
          <cell r="E1120">
            <v>5.2121950000000002E-3</v>
          </cell>
          <cell r="F1120" t="str">
            <v>Gas</v>
          </cell>
        </row>
        <row r="1121">
          <cell r="D1121">
            <v>5</v>
          </cell>
          <cell r="E1121">
            <v>5.9102649999999996E-3</v>
          </cell>
          <cell r="F1121" t="str">
            <v>Gas</v>
          </cell>
        </row>
        <row r="1122">
          <cell r="D1122">
            <v>5</v>
          </cell>
          <cell r="E1122">
            <v>2.7772920000000002E-3</v>
          </cell>
          <cell r="F1122" t="str">
            <v>Gas</v>
          </cell>
        </row>
        <row r="1123">
          <cell r="D1123">
            <v>5</v>
          </cell>
          <cell r="E1123">
            <v>4.038651E-2</v>
          </cell>
          <cell r="F1123" t="str">
            <v>Gas</v>
          </cell>
        </row>
        <row r="1124">
          <cell r="D1124">
            <v>6</v>
          </cell>
          <cell r="E1124">
            <v>2.4537119999999998E-3</v>
          </cell>
          <cell r="F1124" t="str">
            <v>Gas</v>
          </cell>
        </row>
        <row r="1125">
          <cell r="D1125">
            <v>6</v>
          </cell>
          <cell r="E1125">
            <v>0.1501142</v>
          </cell>
          <cell r="F1125" t="str">
            <v>Gas</v>
          </cell>
        </row>
        <row r="1126">
          <cell r="D1126">
            <v>6</v>
          </cell>
          <cell r="E1126">
            <v>3.6326730000000002E-2</v>
          </cell>
          <cell r="F1126" t="str">
            <v>Gas</v>
          </cell>
        </row>
        <row r="1127">
          <cell r="D1127">
            <v>6</v>
          </cell>
          <cell r="E1127">
            <v>3.1104969999999998E-3</v>
          </cell>
          <cell r="F1127" t="str">
            <v>Gas</v>
          </cell>
        </row>
        <row r="1128">
          <cell r="D1128">
            <v>6</v>
          </cell>
          <cell r="E1128">
            <v>2.8298279999999999E-3</v>
          </cell>
          <cell r="F1128" t="str">
            <v>Gas</v>
          </cell>
        </row>
        <row r="1129">
          <cell r="D1129">
            <v>6</v>
          </cell>
          <cell r="E1129">
            <v>1.7350150000000002E-2</v>
          </cell>
          <cell r="F1129" t="str">
            <v>Gas</v>
          </cell>
        </row>
        <row r="1130">
          <cell r="D1130">
            <v>6</v>
          </cell>
          <cell r="E1130">
            <v>5.9103070000000001E-2</v>
          </cell>
          <cell r="F1130" t="str">
            <v>Gas</v>
          </cell>
        </row>
        <row r="1131">
          <cell r="D1131">
            <v>6</v>
          </cell>
          <cell r="E1131">
            <v>6.6084780000000001E-3</v>
          </cell>
          <cell r="F1131" t="str">
            <v>Gas</v>
          </cell>
        </row>
        <row r="1132">
          <cell r="D1132">
            <v>6</v>
          </cell>
          <cell r="E1132">
            <v>5.9101300000000004E-3</v>
          </cell>
          <cell r="F1132" t="str">
            <v>Gas</v>
          </cell>
        </row>
        <row r="1133">
          <cell r="D1133">
            <v>6</v>
          </cell>
          <cell r="E1133">
            <v>2.777364E-3</v>
          </cell>
          <cell r="F1133" t="str">
            <v>Gas</v>
          </cell>
        </row>
        <row r="1134">
          <cell r="D1134">
            <v>0</v>
          </cell>
          <cell r="E1134">
            <v>1.6179369999999998E-2</v>
          </cell>
          <cell r="F1134" t="str">
            <v>Gas</v>
          </cell>
        </row>
        <row r="1135">
          <cell r="D1135">
            <v>1</v>
          </cell>
          <cell r="E1135">
            <v>5.8239679999999997E-3</v>
          </cell>
          <cell r="F1135" t="str">
            <v>Gas</v>
          </cell>
        </row>
        <row r="1136">
          <cell r="D1136">
            <v>1</v>
          </cell>
          <cell r="E1136">
            <v>7.9760909999999994E-3</v>
          </cell>
          <cell r="F1136" t="str">
            <v>Gas</v>
          </cell>
        </row>
        <row r="1137">
          <cell r="D1137">
            <v>2</v>
          </cell>
          <cell r="E1137">
            <v>7.5985790000000005E-4</v>
          </cell>
          <cell r="F1137" t="str">
            <v>Gas</v>
          </cell>
        </row>
        <row r="1138">
          <cell r="D1138">
            <v>2</v>
          </cell>
          <cell r="E1138">
            <v>2.9098259999999999E-3</v>
          </cell>
          <cell r="F1138" t="str">
            <v>Gas</v>
          </cell>
        </row>
        <row r="1139">
          <cell r="D1139">
            <v>4</v>
          </cell>
          <cell r="E1139">
            <v>4.6546629999999999E-4</v>
          </cell>
          <cell r="F1139" t="str">
            <v>Gas</v>
          </cell>
        </row>
        <row r="1140">
          <cell r="D1140">
            <v>6</v>
          </cell>
          <cell r="E1140">
            <v>2.4329400000000002E-3</v>
          </cell>
          <cell r="F1140" t="str">
            <v>Gas</v>
          </cell>
        </row>
        <row r="1141">
          <cell r="D1141">
            <v>0</v>
          </cell>
          <cell r="E1141">
            <v>1.883628E-4</v>
          </cell>
          <cell r="F1141" t="str">
            <v>Liquid</v>
          </cell>
        </row>
        <row r="1142">
          <cell r="D1142">
            <v>0</v>
          </cell>
          <cell r="E1142">
            <v>2.2597160000000002E-3</v>
          </cell>
          <cell r="F1142" t="str">
            <v>Liquid</v>
          </cell>
        </row>
        <row r="1143">
          <cell r="D1143">
            <v>0</v>
          </cell>
          <cell r="E1143">
            <v>0.4607385</v>
          </cell>
          <cell r="F1143" t="str">
            <v>Liquid</v>
          </cell>
        </row>
        <row r="1144">
          <cell r="D1144">
            <v>1</v>
          </cell>
          <cell r="E1144">
            <v>0.29840610000000001</v>
          </cell>
          <cell r="F1144" t="str">
            <v>Liquid</v>
          </cell>
        </row>
        <row r="1145">
          <cell r="D1145">
            <v>1</v>
          </cell>
          <cell r="E1145">
            <v>8.543375E-4</v>
          </cell>
          <cell r="F1145" t="str">
            <v>Liquid</v>
          </cell>
        </row>
        <row r="1146">
          <cell r="D1146">
            <v>1</v>
          </cell>
          <cell r="E1146">
            <v>1.6339390000000001E-3</v>
          </cell>
          <cell r="F1146" t="str">
            <v>Liquid</v>
          </cell>
        </row>
        <row r="1147">
          <cell r="D1147">
            <v>1</v>
          </cell>
          <cell r="E1147">
            <v>2.4135850000000002E-3</v>
          </cell>
          <cell r="F1147" t="str">
            <v>Liquid</v>
          </cell>
        </row>
        <row r="1148">
          <cell r="D1148">
            <v>1</v>
          </cell>
          <cell r="E1148">
            <v>3.1930729999999998E-3</v>
          </cell>
          <cell r="F1148" t="str">
            <v>Liquid</v>
          </cell>
        </row>
        <row r="1149">
          <cell r="D1149">
            <v>2</v>
          </cell>
          <cell r="E1149">
            <v>1.24336E-2</v>
          </cell>
          <cell r="F1149" t="str">
            <v>Liquid</v>
          </cell>
        </row>
        <row r="1150">
          <cell r="D1150">
            <v>2</v>
          </cell>
          <cell r="E1150">
            <v>3.1083529999999999E-3</v>
          </cell>
          <cell r="F1150" t="str">
            <v>Liquid</v>
          </cell>
        </row>
        <row r="1151">
          <cell r="D1151">
            <v>2</v>
          </cell>
          <cell r="E1151">
            <v>3.1084149999999998E-3</v>
          </cell>
          <cell r="F1151" t="str">
            <v>Liquid</v>
          </cell>
        </row>
        <row r="1152">
          <cell r="D1152">
            <v>2</v>
          </cell>
          <cell r="E1152">
            <v>6.2167680000000001E-3</v>
          </cell>
          <cell r="F1152" t="str">
            <v>Liquid</v>
          </cell>
        </row>
        <row r="1153">
          <cell r="D1153">
            <v>2</v>
          </cell>
          <cell r="E1153">
            <v>3.1084149999999998E-3</v>
          </cell>
          <cell r="F1153" t="str">
            <v>Liquid</v>
          </cell>
        </row>
        <row r="1154">
          <cell r="D1154">
            <v>2</v>
          </cell>
          <cell r="E1154">
            <v>3.1083529999999999E-3</v>
          </cell>
          <cell r="F1154" t="str">
            <v>Liquid</v>
          </cell>
        </row>
        <row r="1155">
          <cell r="D1155">
            <v>2</v>
          </cell>
          <cell r="E1155">
            <v>1.554201E-2</v>
          </cell>
          <cell r="F1155" t="str">
            <v>Liquid</v>
          </cell>
        </row>
        <row r="1156">
          <cell r="D1156">
            <v>3</v>
          </cell>
          <cell r="E1156">
            <v>9.3251849999999997E-3</v>
          </cell>
          <cell r="F1156" t="str">
            <v>Liquid</v>
          </cell>
        </row>
        <row r="1157">
          <cell r="D1157">
            <v>3</v>
          </cell>
          <cell r="E1157">
            <v>3.1083529999999999E-3</v>
          </cell>
          <cell r="F1157" t="str">
            <v>Liquid</v>
          </cell>
        </row>
        <row r="1158">
          <cell r="D1158">
            <v>4</v>
          </cell>
          <cell r="E1158">
            <v>1.554202E-2</v>
          </cell>
          <cell r="F1158" t="str">
            <v>Liquid</v>
          </cell>
        </row>
        <row r="1159">
          <cell r="D1159">
            <v>5</v>
          </cell>
          <cell r="E1159">
            <v>2.7975549999999998E-2</v>
          </cell>
          <cell r="F1159" t="str">
            <v>Liquid</v>
          </cell>
        </row>
        <row r="1160">
          <cell r="D1160">
            <v>6</v>
          </cell>
          <cell r="E1160">
            <v>6.2167689999999996E-3</v>
          </cell>
          <cell r="F1160" t="str">
            <v>Liquid</v>
          </cell>
        </row>
        <row r="1161">
          <cell r="D1161">
            <v>0</v>
          </cell>
          <cell r="E1161">
            <v>1.804637E-4</v>
          </cell>
          <cell r="F1161" t="str">
            <v>Liquid</v>
          </cell>
        </row>
        <row r="1162">
          <cell r="D1162">
            <v>0</v>
          </cell>
          <cell r="E1162">
            <v>7.1241380000000007E-2</v>
          </cell>
          <cell r="F1162" t="str">
            <v>Liquid</v>
          </cell>
        </row>
        <row r="1163">
          <cell r="D1163">
            <v>0</v>
          </cell>
          <cell r="E1163">
            <v>2.4525870000000002E-2</v>
          </cell>
          <cell r="F1163" t="str">
            <v>Liquid</v>
          </cell>
        </row>
        <row r="1164">
          <cell r="D1164">
            <v>0</v>
          </cell>
          <cell r="E1164">
            <v>3.280271E-3</v>
          </cell>
          <cell r="F1164" t="str">
            <v>Liquid</v>
          </cell>
        </row>
        <row r="1165">
          <cell r="D1165">
            <v>0</v>
          </cell>
          <cell r="E1165">
            <v>0.2177598</v>
          </cell>
          <cell r="F1165" t="str">
            <v>Liquid</v>
          </cell>
        </row>
        <row r="1166">
          <cell r="D1166">
            <v>0</v>
          </cell>
          <cell r="E1166">
            <v>3.1086109999999998E-3</v>
          </cell>
          <cell r="F1166" t="str">
            <v>Liquid</v>
          </cell>
        </row>
        <row r="1167">
          <cell r="D1167">
            <v>0</v>
          </cell>
          <cell r="E1167">
            <v>8.1245280000000007E-3</v>
          </cell>
          <cell r="F1167" t="str">
            <v>Liquid</v>
          </cell>
        </row>
        <row r="1168">
          <cell r="D1168">
            <v>0</v>
          </cell>
          <cell r="E1168">
            <v>7.148156E-2</v>
          </cell>
          <cell r="F1168" t="str">
            <v>Liquid</v>
          </cell>
        </row>
        <row r="1169">
          <cell r="D1169">
            <v>1</v>
          </cell>
          <cell r="E1169">
            <v>6.9832319999999998E-3</v>
          </cell>
          <cell r="F1169" t="str">
            <v>Liquid</v>
          </cell>
        </row>
        <row r="1170">
          <cell r="D1170">
            <v>1</v>
          </cell>
          <cell r="E1170">
            <v>6.2423749999999997E-3</v>
          </cell>
          <cell r="F1170" t="str">
            <v>Liquid</v>
          </cell>
        </row>
        <row r="1171">
          <cell r="D1171">
            <v>1</v>
          </cell>
          <cell r="E1171">
            <v>1.7788210000000001E-3</v>
          </cell>
          <cell r="F1171" t="str">
            <v>Liquid</v>
          </cell>
        </row>
        <row r="1172">
          <cell r="D1172">
            <v>1</v>
          </cell>
          <cell r="E1172">
            <v>3.121249E-3</v>
          </cell>
          <cell r="F1172" t="str">
            <v>Liquid</v>
          </cell>
        </row>
        <row r="1173">
          <cell r="D1173">
            <v>1</v>
          </cell>
          <cell r="E1173">
            <v>0.31046629999999997</v>
          </cell>
          <cell r="F1173" t="str">
            <v>Liquid</v>
          </cell>
        </row>
        <row r="1174">
          <cell r="D1174">
            <v>1</v>
          </cell>
          <cell r="E1174">
            <v>2.527809E-2</v>
          </cell>
          <cell r="F1174" t="str">
            <v>Liquid</v>
          </cell>
        </row>
        <row r="1175">
          <cell r="D1175">
            <v>1</v>
          </cell>
          <cell r="E1175">
            <v>4.8557410000000002E-3</v>
          </cell>
          <cell r="F1175" t="str">
            <v>Liquid</v>
          </cell>
        </row>
        <row r="1176">
          <cell r="D1176">
            <v>1</v>
          </cell>
          <cell r="E1176">
            <v>2.929228E-2</v>
          </cell>
          <cell r="F1176" t="str">
            <v>Liquid</v>
          </cell>
        </row>
        <row r="1177">
          <cell r="D1177">
            <v>1</v>
          </cell>
          <cell r="E1177">
            <v>3.1088600000000002E-3</v>
          </cell>
          <cell r="F1177" t="str">
            <v>Liquid</v>
          </cell>
        </row>
        <row r="1178">
          <cell r="D1178">
            <v>1</v>
          </cell>
          <cell r="E1178">
            <v>9.3291239999999994E-3</v>
          </cell>
          <cell r="F1178" t="str">
            <v>Liquid</v>
          </cell>
        </row>
        <row r="1179">
          <cell r="D1179">
            <v>1</v>
          </cell>
          <cell r="E1179">
            <v>5.3337000000000002E-4</v>
          </cell>
          <cell r="F1179" t="str">
            <v>Liquid</v>
          </cell>
        </row>
        <row r="1180">
          <cell r="D1180">
            <v>1</v>
          </cell>
          <cell r="E1180">
            <v>0.41980089999999998</v>
          </cell>
          <cell r="F1180" t="str">
            <v>Liquid</v>
          </cell>
        </row>
        <row r="1181">
          <cell r="D1181">
            <v>1</v>
          </cell>
          <cell r="E1181">
            <v>1.4608680000000001E-2</v>
          </cell>
          <cell r="F1181" t="str">
            <v>Liquid</v>
          </cell>
        </row>
        <row r="1182">
          <cell r="D1182">
            <v>1</v>
          </cell>
          <cell r="E1182">
            <v>2.8392740000000001E-3</v>
          </cell>
          <cell r="F1182" t="str">
            <v>Liquid</v>
          </cell>
        </row>
        <row r="1183">
          <cell r="D1183">
            <v>1</v>
          </cell>
          <cell r="E1183">
            <v>7.9554529999999995E-3</v>
          </cell>
          <cell r="F1183" t="str">
            <v>Liquid</v>
          </cell>
        </row>
        <row r="1184">
          <cell r="D1184">
            <v>1</v>
          </cell>
          <cell r="E1184">
            <v>7.4086020000000002E-3</v>
          </cell>
          <cell r="F1184" t="str">
            <v>Liquid</v>
          </cell>
        </row>
        <row r="1185">
          <cell r="D1185">
            <v>2</v>
          </cell>
          <cell r="E1185">
            <v>9.3458700000000006E-2</v>
          </cell>
          <cell r="F1185" t="str">
            <v>Liquid</v>
          </cell>
        </row>
        <row r="1186">
          <cell r="D1186">
            <v>2</v>
          </cell>
          <cell r="E1186">
            <v>1.555314E-2</v>
          </cell>
          <cell r="F1186" t="str">
            <v>Liquid</v>
          </cell>
        </row>
        <row r="1187">
          <cell r="D1187">
            <v>2</v>
          </cell>
          <cell r="E1187">
            <v>1.9330930000000001E-3</v>
          </cell>
          <cell r="F1187" t="str">
            <v>Liquid</v>
          </cell>
        </row>
        <row r="1188">
          <cell r="D1188">
            <v>2</v>
          </cell>
          <cell r="E1188">
            <v>2.4721569999999998E-2</v>
          </cell>
          <cell r="F1188" t="str">
            <v>Liquid</v>
          </cell>
        </row>
        <row r="1189">
          <cell r="D1189">
            <v>2</v>
          </cell>
          <cell r="E1189">
            <v>9.3268269999999993E-3</v>
          </cell>
          <cell r="F1189" t="str">
            <v>Liquid</v>
          </cell>
        </row>
        <row r="1190">
          <cell r="D1190">
            <v>2</v>
          </cell>
          <cell r="E1190">
            <v>6.2179679999999999E-3</v>
          </cell>
          <cell r="F1190" t="str">
            <v>Liquid</v>
          </cell>
        </row>
        <row r="1191">
          <cell r="D1191">
            <v>2</v>
          </cell>
          <cell r="E1191">
            <v>9.3268880000000002E-3</v>
          </cell>
          <cell r="F1191" t="str">
            <v>Liquid</v>
          </cell>
        </row>
        <row r="1192">
          <cell r="D1192">
            <v>2</v>
          </cell>
          <cell r="E1192">
            <v>3.1089830000000001E-3</v>
          </cell>
          <cell r="F1192" t="str">
            <v>Liquid</v>
          </cell>
        </row>
        <row r="1193">
          <cell r="D1193">
            <v>2</v>
          </cell>
          <cell r="E1193">
            <v>1.5606129999999999E-2</v>
          </cell>
          <cell r="F1193" t="str">
            <v>Liquid</v>
          </cell>
        </row>
        <row r="1194">
          <cell r="D1194">
            <v>2</v>
          </cell>
          <cell r="E1194">
            <v>3.121188E-3</v>
          </cell>
          <cell r="F1194" t="str">
            <v>Liquid</v>
          </cell>
        </row>
        <row r="1195">
          <cell r="D1195">
            <v>2</v>
          </cell>
          <cell r="E1195">
            <v>3.1212499999999999E-3</v>
          </cell>
          <cell r="F1195" t="str">
            <v>Liquid</v>
          </cell>
        </row>
        <row r="1196">
          <cell r="D1196">
            <v>2</v>
          </cell>
          <cell r="E1196">
            <v>3.121249E-3</v>
          </cell>
          <cell r="F1196" t="str">
            <v>Liquid</v>
          </cell>
        </row>
        <row r="1197">
          <cell r="D1197">
            <v>2</v>
          </cell>
          <cell r="E1197">
            <v>3.1211870000000001E-3</v>
          </cell>
          <cell r="F1197" t="str">
            <v>Liquid</v>
          </cell>
        </row>
        <row r="1198">
          <cell r="D1198">
            <v>2</v>
          </cell>
          <cell r="E1198">
            <v>8.4807400000000005E-2</v>
          </cell>
          <cell r="F1198" t="str">
            <v>Liquid</v>
          </cell>
        </row>
        <row r="1199">
          <cell r="D1199">
            <v>2</v>
          </cell>
          <cell r="E1199">
            <v>6.2176590000000004E-3</v>
          </cell>
          <cell r="F1199" t="str">
            <v>Liquid</v>
          </cell>
        </row>
        <row r="1200">
          <cell r="D1200">
            <v>2</v>
          </cell>
          <cell r="E1200">
            <v>5.7784589999999997E-3</v>
          </cell>
          <cell r="F1200" t="str">
            <v>Liquid</v>
          </cell>
        </row>
        <row r="1201">
          <cell r="D1201">
            <v>2</v>
          </cell>
          <cell r="E1201">
            <v>2.9045299999999998E-3</v>
          </cell>
          <cell r="F1201" t="str">
            <v>Liquid</v>
          </cell>
        </row>
        <row r="1202">
          <cell r="D1202">
            <v>2</v>
          </cell>
          <cell r="E1202">
            <v>2.7381240000000002E-3</v>
          </cell>
          <cell r="F1202" t="str">
            <v>Liquid</v>
          </cell>
        </row>
        <row r="1203">
          <cell r="D1203">
            <v>2</v>
          </cell>
          <cell r="E1203">
            <v>3.2431000000000001E-3</v>
          </cell>
          <cell r="F1203" t="str">
            <v>Liquid</v>
          </cell>
        </row>
        <row r="1204">
          <cell r="D1204">
            <v>2</v>
          </cell>
          <cell r="E1204">
            <v>3.110603E-3</v>
          </cell>
          <cell r="F1204" t="str">
            <v>Liquid</v>
          </cell>
        </row>
        <row r="1205">
          <cell r="D1205">
            <v>2</v>
          </cell>
          <cell r="E1205">
            <v>0.13366980000000001</v>
          </cell>
          <cell r="F1205" t="str">
            <v>Liquid</v>
          </cell>
        </row>
        <row r="1206">
          <cell r="D1206">
            <v>2</v>
          </cell>
          <cell r="E1206">
            <v>5.397445E-2</v>
          </cell>
          <cell r="F1206" t="str">
            <v>Liquid</v>
          </cell>
        </row>
        <row r="1207">
          <cell r="D1207">
            <v>2</v>
          </cell>
          <cell r="E1207">
            <v>2.8416650000000002E-3</v>
          </cell>
          <cell r="F1207" t="str">
            <v>Liquid</v>
          </cell>
        </row>
        <row r="1208">
          <cell r="D1208">
            <v>2</v>
          </cell>
          <cell r="E1208">
            <v>2.4538490000000001E-3</v>
          </cell>
          <cell r="F1208" t="str">
            <v>Liquid</v>
          </cell>
        </row>
        <row r="1209">
          <cell r="D1209">
            <v>2</v>
          </cell>
          <cell r="E1209">
            <v>1.0294359999999999E-3</v>
          </cell>
          <cell r="F1209" t="str">
            <v>Liquid</v>
          </cell>
        </row>
        <row r="1210">
          <cell r="D1210">
            <v>2</v>
          </cell>
          <cell r="E1210">
            <v>2.1674929999999999E-3</v>
          </cell>
          <cell r="F1210" t="str">
            <v>Liquid</v>
          </cell>
        </row>
        <row r="1211">
          <cell r="D1211">
            <v>2</v>
          </cell>
          <cell r="E1211">
            <v>3.1398469999999998E-2</v>
          </cell>
          <cell r="F1211" t="str">
            <v>Liquid</v>
          </cell>
        </row>
        <row r="1212">
          <cell r="D1212">
            <v>2</v>
          </cell>
          <cell r="E1212">
            <v>9.7513779999999994E-2</v>
          </cell>
          <cell r="F1212" t="str">
            <v>Liquid</v>
          </cell>
        </row>
        <row r="1213">
          <cell r="D1213">
            <v>2</v>
          </cell>
          <cell r="E1213">
            <v>4.3059149999999997E-2</v>
          </cell>
          <cell r="F1213" t="str">
            <v>Liquid</v>
          </cell>
        </row>
        <row r="1214">
          <cell r="D1214">
            <v>2</v>
          </cell>
          <cell r="E1214">
            <v>4.2865769999999997E-3</v>
          </cell>
          <cell r="F1214" t="str">
            <v>Liquid</v>
          </cell>
        </row>
        <row r="1215">
          <cell r="D1215">
            <v>2</v>
          </cell>
          <cell r="E1215">
            <v>6.0681260000000001E-2</v>
          </cell>
          <cell r="F1215" t="str">
            <v>Liquid</v>
          </cell>
        </row>
        <row r="1216">
          <cell r="D1216">
            <v>3</v>
          </cell>
          <cell r="E1216">
            <v>7.4835579999999999E-2</v>
          </cell>
          <cell r="F1216" t="str">
            <v>Liquid</v>
          </cell>
        </row>
        <row r="1217">
          <cell r="D1217">
            <v>3</v>
          </cell>
          <cell r="E1217">
            <v>3.1089830000000001E-3</v>
          </cell>
          <cell r="F1217" t="str">
            <v>Liquid</v>
          </cell>
        </row>
        <row r="1218">
          <cell r="D1218">
            <v>3</v>
          </cell>
          <cell r="E1218">
            <v>3.1089210000000002E-3</v>
          </cell>
          <cell r="F1218" t="str">
            <v>Liquid</v>
          </cell>
        </row>
        <row r="1219">
          <cell r="D1219">
            <v>3</v>
          </cell>
          <cell r="E1219">
            <v>6.2424380000000003E-3</v>
          </cell>
          <cell r="F1219" t="str">
            <v>Liquid</v>
          </cell>
        </row>
        <row r="1220">
          <cell r="D1220">
            <v>3</v>
          </cell>
          <cell r="E1220">
            <v>3.121249E-3</v>
          </cell>
          <cell r="F1220" t="str">
            <v>Liquid</v>
          </cell>
        </row>
        <row r="1221">
          <cell r="D1221">
            <v>3</v>
          </cell>
          <cell r="E1221">
            <v>1.248487E-2</v>
          </cell>
          <cell r="F1221" t="str">
            <v>Liquid</v>
          </cell>
        </row>
        <row r="1222">
          <cell r="D1222">
            <v>3</v>
          </cell>
          <cell r="E1222">
            <v>3.280201E-3</v>
          </cell>
          <cell r="F1222" t="str">
            <v>Liquid</v>
          </cell>
        </row>
        <row r="1223">
          <cell r="D1223">
            <v>3</v>
          </cell>
          <cell r="E1223">
            <v>1.8796349999999999E-3</v>
          </cell>
          <cell r="F1223" t="str">
            <v>Liquid</v>
          </cell>
        </row>
        <row r="1224">
          <cell r="D1224">
            <v>3</v>
          </cell>
          <cell r="E1224">
            <v>1.2435379999999999E-2</v>
          </cell>
          <cell r="F1224" t="str">
            <v>Liquid</v>
          </cell>
        </row>
        <row r="1225">
          <cell r="D1225">
            <v>3</v>
          </cell>
          <cell r="E1225">
            <v>5.4927700000000003E-2</v>
          </cell>
          <cell r="F1225" t="str">
            <v>Liquid</v>
          </cell>
        </row>
        <row r="1226">
          <cell r="D1226">
            <v>3</v>
          </cell>
          <cell r="E1226">
            <v>1.288462E-3</v>
          </cell>
          <cell r="F1226" t="str">
            <v>Liquid</v>
          </cell>
        </row>
        <row r="1227">
          <cell r="D1227">
            <v>3</v>
          </cell>
          <cell r="E1227">
            <v>3.6439720000000001E-3</v>
          </cell>
          <cell r="F1227" t="str">
            <v>Liquid</v>
          </cell>
        </row>
        <row r="1228">
          <cell r="D1228">
            <v>3</v>
          </cell>
          <cell r="E1228">
            <v>7.0755090000000007E-2</v>
          </cell>
          <cell r="F1228" t="str">
            <v>Liquid</v>
          </cell>
        </row>
        <row r="1229">
          <cell r="D1229">
            <v>3</v>
          </cell>
          <cell r="E1229">
            <v>2.9173659999999998E-3</v>
          </cell>
          <cell r="F1229" t="str">
            <v>Liquid</v>
          </cell>
        </row>
        <row r="1230">
          <cell r="D1230">
            <v>3</v>
          </cell>
          <cell r="E1230">
            <v>3.1397349999999997E-2</v>
          </cell>
          <cell r="F1230" t="str">
            <v>Liquid</v>
          </cell>
        </row>
        <row r="1231">
          <cell r="D1231">
            <v>3</v>
          </cell>
          <cell r="E1231">
            <v>5.2500209999999997E-3</v>
          </cell>
          <cell r="F1231" t="str">
            <v>Liquid</v>
          </cell>
        </row>
        <row r="1232">
          <cell r="D1232">
            <v>3</v>
          </cell>
          <cell r="E1232">
            <v>9.4706470000000004E-3</v>
          </cell>
          <cell r="F1232" t="str">
            <v>Liquid</v>
          </cell>
        </row>
        <row r="1233">
          <cell r="D1233">
            <v>3</v>
          </cell>
          <cell r="E1233">
            <v>6.2311750000000003E-3</v>
          </cell>
          <cell r="F1233" t="str">
            <v>Liquid</v>
          </cell>
        </row>
        <row r="1234">
          <cell r="D1234">
            <v>3</v>
          </cell>
          <cell r="E1234">
            <v>2.0122930000000001E-2</v>
          </cell>
          <cell r="F1234" t="str">
            <v>Liquid</v>
          </cell>
        </row>
        <row r="1235">
          <cell r="D1235">
            <v>3</v>
          </cell>
          <cell r="E1235">
            <v>3.9822499999999997E-2</v>
          </cell>
          <cell r="F1235" t="str">
            <v>Liquid</v>
          </cell>
        </row>
        <row r="1236">
          <cell r="D1236">
            <v>3</v>
          </cell>
          <cell r="E1236">
            <v>2.1012420000000001E-3</v>
          </cell>
          <cell r="F1236" t="str">
            <v>Liquid</v>
          </cell>
        </row>
        <row r="1237">
          <cell r="D1237">
            <v>3</v>
          </cell>
          <cell r="E1237">
            <v>2.7394889999999999E-3</v>
          </cell>
          <cell r="F1237" t="str">
            <v>Liquid</v>
          </cell>
        </row>
        <row r="1238">
          <cell r="D1238">
            <v>3</v>
          </cell>
          <cell r="E1238">
            <v>4.2901959999999996E-3</v>
          </cell>
          <cell r="F1238" t="str">
            <v>Liquid</v>
          </cell>
        </row>
        <row r="1239">
          <cell r="D1239">
            <v>3</v>
          </cell>
          <cell r="E1239">
            <v>9.7564950000000004E-3</v>
          </cell>
          <cell r="F1239" t="str">
            <v>Liquid</v>
          </cell>
        </row>
        <row r="1240">
          <cell r="D1240">
            <v>3</v>
          </cell>
          <cell r="E1240">
            <v>5.2551439999999998E-2</v>
          </cell>
          <cell r="F1240" t="str">
            <v>Liquid</v>
          </cell>
        </row>
        <row r="1241">
          <cell r="D1241">
            <v>3</v>
          </cell>
          <cell r="E1241">
            <v>4.4199839999999997E-2</v>
          </cell>
          <cell r="F1241" t="str">
            <v>Liquid</v>
          </cell>
        </row>
        <row r="1242">
          <cell r="D1242">
            <v>3</v>
          </cell>
          <cell r="E1242">
            <v>2.5793869999999998E-3</v>
          </cell>
          <cell r="F1242" t="str">
            <v>Liquid</v>
          </cell>
        </row>
        <row r="1243">
          <cell r="D1243">
            <v>3</v>
          </cell>
          <cell r="E1243">
            <v>4.681681E-3</v>
          </cell>
          <cell r="F1243" t="str">
            <v>Liquid</v>
          </cell>
        </row>
        <row r="1244">
          <cell r="D1244">
            <v>4</v>
          </cell>
          <cell r="E1244">
            <v>7.5810909999999999E-3</v>
          </cell>
          <cell r="F1244" t="str">
            <v>Liquid</v>
          </cell>
        </row>
        <row r="1245">
          <cell r="D1245">
            <v>4</v>
          </cell>
          <cell r="E1245">
            <v>1.243587E-2</v>
          </cell>
          <cell r="F1245" t="str">
            <v>Liquid</v>
          </cell>
        </row>
        <row r="1246">
          <cell r="D1246">
            <v>4</v>
          </cell>
          <cell r="E1246">
            <v>6.242498E-3</v>
          </cell>
          <cell r="F1246" t="str">
            <v>Liquid</v>
          </cell>
        </row>
        <row r="1247">
          <cell r="D1247">
            <v>4</v>
          </cell>
          <cell r="E1247">
            <v>3.1088600000000002E-3</v>
          </cell>
          <cell r="F1247" t="str">
            <v>Liquid</v>
          </cell>
        </row>
        <row r="1248">
          <cell r="D1248">
            <v>4</v>
          </cell>
          <cell r="E1248">
            <v>9.3265819999999999E-3</v>
          </cell>
          <cell r="F1248" t="str">
            <v>Liquid</v>
          </cell>
        </row>
        <row r="1249">
          <cell r="D1249">
            <v>4</v>
          </cell>
          <cell r="E1249">
            <v>3.6438920000000001E-3</v>
          </cell>
          <cell r="F1249" t="str">
            <v>Liquid</v>
          </cell>
        </row>
        <row r="1250">
          <cell r="D1250">
            <v>4</v>
          </cell>
          <cell r="E1250">
            <v>2.45334E-3</v>
          </cell>
          <cell r="F1250" t="str">
            <v>Liquid</v>
          </cell>
        </row>
        <row r="1251">
          <cell r="D1251">
            <v>4</v>
          </cell>
          <cell r="E1251">
            <v>6.0703079999999997E-5</v>
          </cell>
          <cell r="F1251" t="str">
            <v>Liquid</v>
          </cell>
        </row>
        <row r="1252">
          <cell r="D1252">
            <v>4</v>
          </cell>
          <cell r="E1252">
            <v>2.2509609999999999E-2</v>
          </cell>
          <cell r="F1252" t="str">
            <v>Liquid</v>
          </cell>
        </row>
        <row r="1253">
          <cell r="D1253">
            <v>4</v>
          </cell>
          <cell r="E1253">
            <v>2.453134E-3</v>
          </cell>
          <cell r="F1253" t="str">
            <v>Liquid</v>
          </cell>
        </row>
        <row r="1254">
          <cell r="D1254">
            <v>4</v>
          </cell>
          <cell r="E1254">
            <v>2.453134E-3</v>
          </cell>
          <cell r="F1254" t="str">
            <v>Liquid</v>
          </cell>
        </row>
        <row r="1255">
          <cell r="D1255">
            <v>4</v>
          </cell>
          <cell r="E1255">
            <v>1.7171789999999999E-2</v>
          </cell>
          <cell r="F1255" t="str">
            <v>Liquid</v>
          </cell>
        </row>
        <row r="1256">
          <cell r="D1256">
            <v>4</v>
          </cell>
          <cell r="E1256">
            <v>4.5288139999999998E-2</v>
          </cell>
          <cell r="F1256" t="str">
            <v>Liquid</v>
          </cell>
        </row>
        <row r="1257">
          <cell r="D1257">
            <v>4</v>
          </cell>
          <cell r="E1257">
            <v>1.702456E-3</v>
          </cell>
          <cell r="F1257" t="str">
            <v>Liquid</v>
          </cell>
        </row>
        <row r="1258">
          <cell r="D1258">
            <v>4</v>
          </cell>
          <cell r="E1258">
            <v>4.9163669999999996E-3</v>
          </cell>
          <cell r="F1258" t="str">
            <v>Liquid</v>
          </cell>
        </row>
        <row r="1259">
          <cell r="D1259">
            <v>4</v>
          </cell>
          <cell r="E1259">
            <v>0.20848</v>
          </cell>
          <cell r="F1259" t="str">
            <v>Liquid</v>
          </cell>
        </row>
        <row r="1260">
          <cell r="D1260">
            <v>4</v>
          </cell>
          <cell r="E1260">
            <v>4.9052150000000001E-3</v>
          </cell>
          <cell r="F1260" t="str">
            <v>Liquid</v>
          </cell>
        </row>
        <row r="1261">
          <cell r="D1261">
            <v>4</v>
          </cell>
          <cell r="E1261">
            <v>1.0046829999999999E-3</v>
          </cell>
          <cell r="F1261" t="str">
            <v>Liquid</v>
          </cell>
        </row>
        <row r="1262">
          <cell r="D1262">
            <v>4</v>
          </cell>
          <cell r="E1262">
            <v>1.4308619999999999E-4</v>
          </cell>
          <cell r="F1262" t="str">
            <v>Liquid</v>
          </cell>
        </row>
        <row r="1263">
          <cell r="D1263">
            <v>4</v>
          </cell>
          <cell r="E1263">
            <v>5.0581810000000001E-3</v>
          </cell>
          <cell r="F1263" t="str">
            <v>Liquid</v>
          </cell>
        </row>
        <row r="1264">
          <cell r="D1264">
            <v>4</v>
          </cell>
          <cell r="E1264">
            <v>3.6527560000000002E-4</v>
          </cell>
          <cell r="F1264" t="str">
            <v>Liquid</v>
          </cell>
        </row>
        <row r="1265">
          <cell r="D1265">
            <v>4</v>
          </cell>
          <cell r="E1265">
            <v>2.327736E-3</v>
          </cell>
          <cell r="F1265" t="str">
            <v>Liquid</v>
          </cell>
        </row>
        <row r="1266">
          <cell r="D1266">
            <v>4</v>
          </cell>
          <cell r="E1266">
            <v>3.1043949999999998E-3</v>
          </cell>
          <cell r="F1266" t="str">
            <v>Liquid</v>
          </cell>
        </row>
        <row r="1267">
          <cell r="D1267">
            <v>4</v>
          </cell>
          <cell r="E1267">
            <v>1.387863E-3</v>
          </cell>
          <cell r="F1267" t="str">
            <v>Liquid</v>
          </cell>
        </row>
        <row r="1268">
          <cell r="D1268">
            <v>4</v>
          </cell>
          <cell r="E1268">
            <v>6.3508269999999999E-3</v>
          </cell>
          <cell r="F1268" t="str">
            <v>Liquid</v>
          </cell>
        </row>
        <row r="1269">
          <cell r="D1269">
            <v>4</v>
          </cell>
          <cell r="E1269">
            <v>5.1586160000000004E-3</v>
          </cell>
          <cell r="F1269" t="str">
            <v>Liquid</v>
          </cell>
        </row>
        <row r="1270">
          <cell r="D1270">
            <v>4</v>
          </cell>
          <cell r="E1270">
            <v>8.0720319999999998E-3</v>
          </cell>
          <cell r="F1270" t="str">
            <v>Liquid</v>
          </cell>
        </row>
        <row r="1271">
          <cell r="D1271">
            <v>5</v>
          </cell>
          <cell r="E1271">
            <v>2.7976270000000001E-2</v>
          </cell>
          <cell r="F1271" t="str">
            <v>Liquid</v>
          </cell>
        </row>
        <row r="1272">
          <cell r="D1272">
            <v>5</v>
          </cell>
          <cell r="E1272">
            <v>3.0364200000000002E-3</v>
          </cell>
          <cell r="F1272" t="str">
            <v>Liquid</v>
          </cell>
        </row>
        <row r="1273">
          <cell r="D1273">
            <v>5</v>
          </cell>
          <cell r="E1273">
            <v>3.1088600000000002E-3</v>
          </cell>
          <cell r="F1273" t="str">
            <v>Liquid</v>
          </cell>
        </row>
        <row r="1274">
          <cell r="D1274">
            <v>5</v>
          </cell>
          <cell r="E1274">
            <v>2.8416719999999999E-3</v>
          </cell>
          <cell r="F1274" t="str">
            <v>Liquid</v>
          </cell>
        </row>
        <row r="1275">
          <cell r="D1275">
            <v>5</v>
          </cell>
          <cell r="E1275">
            <v>0.23473079999999999</v>
          </cell>
          <cell r="F1275" t="str">
            <v>Liquid</v>
          </cell>
        </row>
        <row r="1276">
          <cell r="D1276">
            <v>5</v>
          </cell>
          <cell r="E1276">
            <v>0.1143816</v>
          </cell>
          <cell r="F1276" t="str">
            <v>Liquid</v>
          </cell>
        </row>
        <row r="1277">
          <cell r="D1277">
            <v>5</v>
          </cell>
          <cell r="E1277">
            <v>3.1179570000000002E-3</v>
          </cell>
          <cell r="F1277" t="str">
            <v>Liquid</v>
          </cell>
        </row>
        <row r="1278">
          <cell r="D1278">
            <v>5</v>
          </cell>
          <cell r="E1278">
            <v>2.453134E-3</v>
          </cell>
          <cell r="F1278" t="str">
            <v>Liquid</v>
          </cell>
        </row>
        <row r="1279">
          <cell r="D1279">
            <v>5</v>
          </cell>
          <cell r="E1279">
            <v>4.9062189999999999E-3</v>
          </cell>
          <cell r="F1279" t="str">
            <v>Liquid</v>
          </cell>
        </row>
        <row r="1280">
          <cell r="D1280">
            <v>5</v>
          </cell>
          <cell r="E1280">
            <v>2.453134E-3</v>
          </cell>
          <cell r="F1280" t="str">
            <v>Liquid</v>
          </cell>
        </row>
        <row r="1281">
          <cell r="D1281">
            <v>5</v>
          </cell>
          <cell r="E1281">
            <v>2.4558700000000002E-3</v>
          </cell>
          <cell r="F1281" t="str">
            <v>Liquid</v>
          </cell>
        </row>
        <row r="1282">
          <cell r="D1282">
            <v>5</v>
          </cell>
          <cell r="E1282">
            <v>4.6507900000000001E-3</v>
          </cell>
          <cell r="F1282" t="str">
            <v>Liquid</v>
          </cell>
        </row>
        <row r="1283">
          <cell r="D1283">
            <v>5</v>
          </cell>
          <cell r="E1283">
            <v>5.5618020000000002E-3</v>
          </cell>
          <cell r="F1283" t="str">
            <v>Liquid</v>
          </cell>
        </row>
        <row r="1284">
          <cell r="D1284">
            <v>5</v>
          </cell>
          <cell r="E1284">
            <v>0.1113413</v>
          </cell>
          <cell r="F1284" t="str">
            <v>Liquid</v>
          </cell>
        </row>
        <row r="1285">
          <cell r="D1285">
            <v>5</v>
          </cell>
          <cell r="E1285">
            <v>2.5792760000000001E-3</v>
          </cell>
          <cell r="F1285" t="str">
            <v>Liquid</v>
          </cell>
        </row>
        <row r="1286">
          <cell r="D1286">
            <v>5</v>
          </cell>
          <cell r="E1286">
            <v>7.3309949999999999E-2</v>
          </cell>
          <cell r="F1286" t="str">
            <v>Liquid</v>
          </cell>
        </row>
        <row r="1287">
          <cell r="D1287">
            <v>5</v>
          </cell>
          <cell r="E1287">
            <v>0.16407459999999999</v>
          </cell>
          <cell r="F1287" t="str">
            <v>Liquid</v>
          </cell>
        </row>
        <row r="1288">
          <cell r="D1288">
            <v>6</v>
          </cell>
          <cell r="E1288">
            <v>3.4194120000000001E-2</v>
          </cell>
          <cell r="F1288" t="str">
            <v>Liquid</v>
          </cell>
        </row>
        <row r="1289">
          <cell r="D1289">
            <v>6</v>
          </cell>
          <cell r="E1289">
            <v>2.4541139999999999E-3</v>
          </cell>
          <cell r="F1289" t="str">
            <v>Liquid</v>
          </cell>
        </row>
        <row r="1290">
          <cell r="D1290">
            <v>6</v>
          </cell>
          <cell r="E1290">
            <v>6.6010009999999994E-2</v>
          </cell>
          <cell r="F1290" t="str">
            <v>Liquid</v>
          </cell>
        </row>
        <row r="1291">
          <cell r="D1291">
            <v>6</v>
          </cell>
          <cell r="E1291">
            <v>3.1087979999999999E-3</v>
          </cell>
          <cell r="F1291" t="str">
            <v>Liquid</v>
          </cell>
        </row>
        <row r="1292">
          <cell r="D1292">
            <v>6</v>
          </cell>
          <cell r="E1292">
            <v>1.2795300000000001E-2</v>
          </cell>
          <cell r="F1292" t="str">
            <v>Liquid</v>
          </cell>
        </row>
        <row r="1293">
          <cell r="D1293">
            <v>6</v>
          </cell>
          <cell r="E1293">
            <v>3.1089160000000002E-3</v>
          </cell>
          <cell r="F1293" t="str">
            <v>Liquid</v>
          </cell>
        </row>
        <row r="1294">
          <cell r="D1294">
            <v>6</v>
          </cell>
          <cell r="E1294">
            <v>2.7659619999999998E-3</v>
          </cell>
          <cell r="F1294" t="str">
            <v>Liquid</v>
          </cell>
        </row>
        <row r="1295">
          <cell r="D1295">
            <v>6</v>
          </cell>
          <cell r="E1295">
            <v>7.2178859999999997E-3</v>
          </cell>
          <cell r="F1295" t="str">
            <v>Liquid</v>
          </cell>
        </row>
        <row r="1296">
          <cell r="D1296">
            <v>6</v>
          </cell>
          <cell r="E1296">
            <v>2.4532099999999999E-3</v>
          </cell>
          <cell r="F1296" t="str">
            <v>Liquid</v>
          </cell>
        </row>
        <row r="1297">
          <cell r="D1297">
            <v>6</v>
          </cell>
          <cell r="E1297">
            <v>2.515808E-3</v>
          </cell>
          <cell r="F1297" t="str">
            <v>Liquid</v>
          </cell>
        </row>
        <row r="1298">
          <cell r="D1298">
            <v>6</v>
          </cell>
          <cell r="E1298">
            <v>4.2734870000000001E-2</v>
          </cell>
          <cell r="F1298" t="str">
            <v>Liquid</v>
          </cell>
        </row>
        <row r="1299">
          <cell r="D1299">
            <v>6</v>
          </cell>
          <cell r="E1299">
            <v>2.453181E-3</v>
          </cell>
          <cell r="F1299" t="str">
            <v>Liquid</v>
          </cell>
        </row>
        <row r="1300">
          <cell r="D1300">
            <v>6</v>
          </cell>
          <cell r="E1300">
            <v>8.6483130000000005E-2</v>
          </cell>
          <cell r="F1300" t="str">
            <v>Liquid</v>
          </cell>
        </row>
        <row r="1301">
          <cell r="D1301">
            <v>6</v>
          </cell>
          <cell r="E1301">
            <v>1.7215580000000001E-2</v>
          </cell>
          <cell r="F1301" t="str">
            <v>Liquid</v>
          </cell>
        </row>
        <row r="1302">
          <cell r="D1302">
            <v>6</v>
          </cell>
          <cell r="E1302">
            <v>3.5527170000000002E-4</v>
          </cell>
          <cell r="F1302" t="str">
            <v>Liquid</v>
          </cell>
        </row>
        <row r="1303">
          <cell r="D1303">
            <v>6</v>
          </cell>
          <cell r="E1303">
            <v>2.9628760000000001E-3</v>
          </cell>
          <cell r="F1303" t="str">
            <v>Liquid</v>
          </cell>
        </row>
        <row r="1304">
          <cell r="D1304">
            <v>6</v>
          </cell>
          <cell r="E1304">
            <v>7.0959660000000002E-5</v>
          </cell>
          <cell r="F1304" t="str">
            <v>Liquid</v>
          </cell>
        </row>
        <row r="1305">
          <cell r="D1305">
            <v>6</v>
          </cell>
          <cell r="E1305">
            <v>3.182327E-3</v>
          </cell>
          <cell r="F1305" t="str">
            <v>Liquid</v>
          </cell>
        </row>
        <row r="1306">
          <cell r="D1306">
            <v>6</v>
          </cell>
          <cell r="E1306">
            <v>2.5823389999999999E-3</v>
          </cell>
          <cell r="F1306" t="str">
            <v>Liquid</v>
          </cell>
        </row>
        <row r="1307">
          <cell r="D1307">
            <v>6</v>
          </cell>
          <cell r="E1307">
            <v>3.9117860000000004E-3</v>
          </cell>
          <cell r="F1307" t="str">
            <v>Liquid</v>
          </cell>
        </row>
        <row r="1308">
          <cell r="D1308">
            <v>6</v>
          </cell>
          <cell r="E1308">
            <v>4.0794960000000002E-5</v>
          </cell>
          <cell r="F1308" t="str">
            <v>Liquid</v>
          </cell>
        </row>
        <row r="1309">
          <cell r="D1309">
            <v>6</v>
          </cell>
          <cell r="E1309">
            <v>6.7730709999999999E-5</v>
          </cell>
          <cell r="F1309" t="str">
            <v>Liquid</v>
          </cell>
        </row>
        <row r="1310">
          <cell r="D1310">
            <v>0</v>
          </cell>
          <cell r="E1310">
            <v>8.9776430000000004E-2</v>
          </cell>
          <cell r="F1310" t="str">
            <v>Liquid</v>
          </cell>
        </row>
        <row r="1311">
          <cell r="D1311">
            <v>0</v>
          </cell>
          <cell r="E1311">
            <v>0.48348669999999999</v>
          </cell>
          <cell r="F1311" t="str">
            <v>Liquid</v>
          </cell>
        </row>
        <row r="1312">
          <cell r="D1312">
            <v>0</v>
          </cell>
          <cell r="E1312">
            <v>1.275252E-6</v>
          </cell>
          <cell r="F1312" t="str">
            <v>Liquid</v>
          </cell>
        </row>
        <row r="1313">
          <cell r="D1313">
            <v>1</v>
          </cell>
          <cell r="E1313">
            <v>2.6933040000000001E-3</v>
          </cell>
          <cell r="F1313" t="str">
            <v>Liquid</v>
          </cell>
        </row>
        <row r="1314">
          <cell r="D1314">
            <v>1</v>
          </cell>
          <cell r="E1314">
            <v>6.2177839999999996E-3</v>
          </cell>
          <cell r="F1314" t="str">
            <v>Liquid</v>
          </cell>
        </row>
        <row r="1315">
          <cell r="D1315">
            <v>1</v>
          </cell>
          <cell r="E1315">
            <v>1.409646E-2</v>
          </cell>
          <cell r="F1315" t="str">
            <v>Liquid</v>
          </cell>
        </row>
        <row r="1316">
          <cell r="D1316">
            <v>1</v>
          </cell>
          <cell r="E1316">
            <v>1.056199E-2</v>
          </cell>
          <cell r="F1316" t="str">
            <v>Liquid</v>
          </cell>
        </row>
        <row r="1317">
          <cell r="D1317">
            <v>1</v>
          </cell>
          <cell r="E1317">
            <v>1.3009219999999999E-3</v>
          </cell>
          <cell r="F1317" t="str">
            <v>Liquid</v>
          </cell>
        </row>
        <row r="1318">
          <cell r="D1318">
            <v>1</v>
          </cell>
          <cell r="E1318">
            <v>0.13883239999999999</v>
          </cell>
          <cell r="F1318" t="str">
            <v>Liquid</v>
          </cell>
        </row>
        <row r="1319">
          <cell r="D1319">
            <v>1</v>
          </cell>
          <cell r="E1319">
            <v>1.804118E-2</v>
          </cell>
          <cell r="F1319" t="str">
            <v>Liquid</v>
          </cell>
        </row>
        <row r="1320">
          <cell r="D1320">
            <v>1</v>
          </cell>
          <cell r="E1320">
            <v>0.35560849999999999</v>
          </cell>
          <cell r="F1320" t="str">
            <v>Liquid</v>
          </cell>
        </row>
        <row r="1321">
          <cell r="D1321">
            <v>1</v>
          </cell>
          <cell r="E1321">
            <v>1.275252E-6</v>
          </cell>
          <cell r="F1321" t="str">
            <v>Liquid</v>
          </cell>
        </row>
        <row r="1322">
          <cell r="D1322">
            <v>1</v>
          </cell>
          <cell r="E1322">
            <v>5.9006679999999999E-2</v>
          </cell>
          <cell r="F1322" t="str">
            <v>Liquid</v>
          </cell>
        </row>
        <row r="1323">
          <cell r="D1323">
            <v>1</v>
          </cell>
          <cell r="E1323">
            <v>7.3628799999999996E-3</v>
          </cell>
          <cell r="F1323" t="str">
            <v>Liquid</v>
          </cell>
        </row>
        <row r="1324">
          <cell r="D1324">
            <v>1</v>
          </cell>
          <cell r="E1324">
            <v>4.908585E-3</v>
          </cell>
          <cell r="F1324" t="str">
            <v>Liquid</v>
          </cell>
        </row>
        <row r="1325">
          <cell r="D1325">
            <v>1</v>
          </cell>
          <cell r="E1325">
            <v>1.227141E-2</v>
          </cell>
          <cell r="F1325" t="str">
            <v>Liquid</v>
          </cell>
        </row>
        <row r="1326">
          <cell r="D1326">
            <v>1</v>
          </cell>
          <cell r="E1326">
            <v>0.1300808</v>
          </cell>
          <cell r="F1326" t="str">
            <v>Liquid</v>
          </cell>
        </row>
        <row r="1327">
          <cell r="D1327">
            <v>1</v>
          </cell>
          <cell r="E1327">
            <v>2.451922E-3</v>
          </cell>
          <cell r="F1327" t="str">
            <v>Liquid</v>
          </cell>
        </row>
        <row r="1328">
          <cell r="D1328">
            <v>1</v>
          </cell>
          <cell r="E1328">
            <v>4.9037969999999997E-3</v>
          </cell>
          <cell r="F1328" t="str">
            <v>Liquid</v>
          </cell>
        </row>
        <row r="1329">
          <cell r="D1329">
            <v>1</v>
          </cell>
          <cell r="E1329">
            <v>9.8150579999999998E-3</v>
          </cell>
          <cell r="F1329" t="str">
            <v>Liquid</v>
          </cell>
        </row>
        <row r="1330">
          <cell r="D1330">
            <v>1</v>
          </cell>
          <cell r="E1330">
            <v>4.169345E-2</v>
          </cell>
          <cell r="F1330" t="str">
            <v>Liquid</v>
          </cell>
        </row>
        <row r="1331">
          <cell r="D1331">
            <v>1</v>
          </cell>
          <cell r="E1331">
            <v>7.3575130000000004E-3</v>
          </cell>
          <cell r="F1331" t="str">
            <v>Liquid</v>
          </cell>
        </row>
        <row r="1332">
          <cell r="D1332">
            <v>1</v>
          </cell>
          <cell r="E1332">
            <v>7.3557179999999998E-3</v>
          </cell>
          <cell r="F1332" t="str">
            <v>Liquid</v>
          </cell>
        </row>
        <row r="1333">
          <cell r="D1333">
            <v>1</v>
          </cell>
          <cell r="E1333">
            <v>6.7134710000000004E-3</v>
          </cell>
          <cell r="F1333" t="str">
            <v>Liquid</v>
          </cell>
        </row>
        <row r="1334">
          <cell r="D1334">
            <v>1</v>
          </cell>
          <cell r="E1334">
            <v>2.4856890000000001E-3</v>
          </cell>
          <cell r="F1334" t="str">
            <v>Liquid</v>
          </cell>
        </row>
        <row r="1335">
          <cell r="D1335">
            <v>1</v>
          </cell>
          <cell r="E1335">
            <v>4.9713450000000003E-3</v>
          </cell>
          <cell r="F1335" t="str">
            <v>Liquid</v>
          </cell>
        </row>
        <row r="1336">
          <cell r="D1336">
            <v>1</v>
          </cell>
          <cell r="E1336">
            <v>1.1165599999999999E-3</v>
          </cell>
          <cell r="F1336" t="str">
            <v>Liquid</v>
          </cell>
        </row>
        <row r="1337">
          <cell r="D1337">
            <v>2</v>
          </cell>
          <cell r="E1337">
            <v>3.1088919999999998E-3</v>
          </cell>
          <cell r="F1337" t="str">
            <v>Liquid</v>
          </cell>
        </row>
        <row r="1338">
          <cell r="D1338">
            <v>2</v>
          </cell>
          <cell r="E1338">
            <v>1.123263E-2</v>
          </cell>
          <cell r="F1338" t="str">
            <v>Liquid</v>
          </cell>
        </row>
        <row r="1339">
          <cell r="D1339">
            <v>2</v>
          </cell>
          <cell r="E1339">
            <v>2.4789229999999999E-2</v>
          </cell>
          <cell r="F1339" t="str">
            <v>Liquid</v>
          </cell>
        </row>
        <row r="1340">
          <cell r="D1340">
            <v>2</v>
          </cell>
          <cell r="E1340">
            <v>5.2863140000000003E-3</v>
          </cell>
          <cell r="F1340" t="str">
            <v>Liquid</v>
          </cell>
        </row>
        <row r="1341">
          <cell r="D1341">
            <v>2</v>
          </cell>
          <cell r="E1341">
            <v>1.7091000000000001E-3</v>
          </cell>
          <cell r="F1341" t="str">
            <v>Liquid</v>
          </cell>
        </row>
        <row r="1342">
          <cell r="D1342">
            <v>2</v>
          </cell>
          <cell r="E1342">
            <v>6.5615420000000001E-3</v>
          </cell>
          <cell r="F1342" t="str">
            <v>Liquid</v>
          </cell>
        </row>
        <row r="1343">
          <cell r="D1343">
            <v>2</v>
          </cell>
          <cell r="E1343">
            <v>9.190251E-3</v>
          </cell>
          <cell r="F1343" t="str">
            <v>Liquid</v>
          </cell>
        </row>
        <row r="1344">
          <cell r="D1344">
            <v>2</v>
          </cell>
          <cell r="E1344">
            <v>1.991526E-3</v>
          </cell>
          <cell r="F1344" t="str">
            <v>Liquid</v>
          </cell>
        </row>
        <row r="1345">
          <cell r="D1345">
            <v>2</v>
          </cell>
          <cell r="E1345">
            <v>3.220147E-3</v>
          </cell>
          <cell r="F1345" t="str">
            <v>Liquid</v>
          </cell>
        </row>
        <row r="1346">
          <cell r="D1346">
            <v>2</v>
          </cell>
          <cell r="E1346">
            <v>1.8441180000000001E-3</v>
          </cell>
          <cell r="F1346" t="str">
            <v>Liquid</v>
          </cell>
        </row>
        <row r="1347">
          <cell r="D1347">
            <v>2</v>
          </cell>
          <cell r="E1347">
            <v>3.2463730000000003E-2</v>
          </cell>
          <cell r="F1347" t="str">
            <v>Liquid</v>
          </cell>
        </row>
        <row r="1348">
          <cell r="D1348">
            <v>2</v>
          </cell>
          <cell r="E1348">
            <v>4.681361E-4</v>
          </cell>
          <cell r="F1348" t="str">
            <v>Liquid</v>
          </cell>
        </row>
        <row r="1349">
          <cell r="D1349">
            <v>2</v>
          </cell>
          <cell r="E1349">
            <v>1.246214E-2</v>
          </cell>
          <cell r="F1349" t="str">
            <v>Liquid</v>
          </cell>
        </row>
        <row r="1350">
          <cell r="D1350">
            <v>2</v>
          </cell>
          <cell r="E1350">
            <v>1.402057E-3</v>
          </cell>
          <cell r="F1350" t="str">
            <v>Liquid</v>
          </cell>
        </row>
        <row r="1351">
          <cell r="D1351">
            <v>2</v>
          </cell>
          <cell r="E1351">
            <v>3.7031410000000001E-2</v>
          </cell>
          <cell r="F1351" t="str">
            <v>Liquid</v>
          </cell>
        </row>
        <row r="1352">
          <cell r="D1352">
            <v>2</v>
          </cell>
          <cell r="E1352">
            <v>1.3922830000000001E-2</v>
          </cell>
          <cell r="F1352" t="str">
            <v>Liquid</v>
          </cell>
        </row>
        <row r="1353">
          <cell r="D1353">
            <v>2</v>
          </cell>
          <cell r="E1353">
            <v>2.6071319999999999E-3</v>
          </cell>
          <cell r="F1353" t="str">
            <v>Liquid</v>
          </cell>
        </row>
        <row r="1354">
          <cell r="D1354">
            <v>2</v>
          </cell>
          <cell r="E1354">
            <v>1.5434369999999999E-2</v>
          </cell>
          <cell r="F1354" t="str">
            <v>Liquid</v>
          </cell>
        </row>
        <row r="1355">
          <cell r="D1355">
            <v>2</v>
          </cell>
          <cell r="E1355">
            <v>5.0060260000000002E-3</v>
          </cell>
          <cell r="F1355" t="str">
            <v>Liquid</v>
          </cell>
        </row>
        <row r="1356">
          <cell r="D1356">
            <v>2</v>
          </cell>
          <cell r="E1356">
            <v>6.3095970000000001E-3</v>
          </cell>
          <cell r="F1356" t="str">
            <v>Liquid</v>
          </cell>
        </row>
        <row r="1357">
          <cell r="D1357">
            <v>2</v>
          </cell>
          <cell r="E1357">
            <v>2.6071039999999998E-3</v>
          </cell>
          <cell r="F1357" t="str">
            <v>Liquid</v>
          </cell>
        </row>
        <row r="1358">
          <cell r="D1358">
            <v>2</v>
          </cell>
          <cell r="E1358">
            <v>5.5111149999999996E-3</v>
          </cell>
          <cell r="F1358" t="str">
            <v>Liquid</v>
          </cell>
        </row>
        <row r="1359">
          <cell r="D1359">
            <v>2</v>
          </cell>
          <cell r="E1359">
            <v>1.746582E-3</v>
          </cell>
          <cell r="F1359" t="str">
            <v>Liquid</v>
          </cell>
        </row>
        <row r="1360">
          <cell r="D1360">
            <v>2</v>
          </cell>
          <cell r="E1360">
            <v>2.6071069999999998E-2</v>
          </cell>
          <cell r="F1360" t="str">
            <v>Liquid</v>
          </cell>
        </row>
        <row r="1361">
          <cell r="D1361">
            <v>2</v>
          </cell>
          <cell r="E1361">
            <v>7.7379850000000002E-3</v>
          </cell>
          <cell r="F1361" t="str">
            <v>Liquid</v>
          </cell>
        </row>
        <row r="1362">
          <cell r="D1362">
            <v>2</v>
          </cell>
          <cell r="E1362">
            <v>1.339612E-3</v>
          </cell>
          <cell r="F1362" t="str">
            <v>Liquid</v>
          </cell>
        </row>
        <row r="1363">
          <cell r="D1363">
            <v>2</v>
          </cell>
          <cell r="E1363">
            <v>4.0826559999999998E-2</v>
          </cell>
          <cell r="F1363" t="str">
            <v>Liquid</v>
          </cell>
        </row>
        <row r="1364">
          <cell r="D1364">
            <v>2</v>
          </cell>
          <cell r="E1364">
            <v>6.7579600000000004E-2</v>
          </cell>
          <cell r="F1364" t="str">
            <v>Liquid</v>
          </cell>
        </row>
        <row r="1365">
          <cell r="D1365">
            <v>2</v>
          </cell>
          <cell r="E1365">
            <v>7.9214790000000004E-3</v>
          </cell>
          <cell r="F1365" t="str">
            <v>Liquid</v>
          </cell>
        </row>
        <row r="1366">
          <cell r="D1366">
            <v>2</v>
          </cell>
          <cell r="E1366">
            <v>5.0810710000000004E-3</v>
          </cell>
          <cell r="F1366" t="str">
            <v>Liquid</v>
          </cell>
        </row>
        <row r="1367">
          <cell r="D1367">
            <v>2</v>
          </cell>
          <cell r="E1367">
            <v>1.2271310000000001E-2</v>
          </cell>
          <cell r="F1367" t="str">
            <v>Liquid</v>
          </cell>
        </row>
        <row r="1368">
          <cell r="D1368">
            <v>2</v>
          </cell>
          <cell r="E1368">
            <v>4.9075509999999996E-3</v>
          </cell>
          <cell r="F1368" t="str">
            <v>Liquid</v>
          </cell>
        </row>
        <row r="1369">
          <cell r="D1369">
            <v>2</v>
          </cell>
          <cell r="E1369">
            <v>2.4856660000000001E-3</v>
          </cell>
          <cell r="F1369" t="str">
            <v>Liquid</v>
          </cell>
        </row>
        <row r="1370">
          <cell r="D1370">
            <v>3</v>
          </cell>
          <cell r="E1370">
            <v>6.2177200000000004E-3</v>
          </cell>
          <cell r="F1370" t="str">
            <v>Liquid</v>
          </cell>
        </row>
        <row r="1371">
          <cell r="D1371">
            <v>3</v>
          </cell>
          <cell r="E1371">
            <v>2.673205E-2</v>
          </cell>
          <cell r="F1371" t="str">
            <v>Liquid</v>
          </cell>
        </row>
        <row r="1372">
          <cell r="D1372">
            <v>3</v>
          </cell>
          <cell r="E1372">
            <v>3.9725960000000001E-3</v>
          </cell>
          <cell r="F1372" t="str">
            <v>Liquid</v>
          </cell>
        </row>
        <row r="1373">
          <cell r="D1373">
            <v>3</v>
          </cell>
          <cell r="E1373">
            <v>6.4141739999999999E-3</v>
          </cell>
          <cell r="F1373" t="str">
            <v>Liquid</v>
          </cell>
        </row>
        <row r="1374">
          <cell r="D1374">
            <v>3</v>
          </cell>
          <cell r="E1374">
            <v>5.2095029999999999E-3</v>
          </cell>
          <cell r="F1374" t="str">
            <v>Liquid</v>
          </cell>
        </row>
        <row r="1375">
          <cell r="D1375">
            <v>3</v>
          </cell>
          <cell r="E1375">
            <v>2.0825640000000001E-4</v>
          </cell>
          <cell r="F1375" t="str">
            <v>Liquid</v>
          </cell>
        </row>
        <row r="1376">
          <cell r="D1376">
            <v>3</v>
          </cell>
          <cell r="E1376">
            <v>2.6071470000000002E-3</v>
          </cell>
          <cell r="F1376" t="str">
            <v>Liquid</v>
          </cell>
        </row>
        <row r="1377">
          <cell r="D1377">
            <v>3</v>
          </cell>
          <cell r="E1377">
            <v>2.4143000000000001E-2</v>
          </cell>
          <cell r="F1377" t="str">
            <v>Liquid</v>
          </cell>
        </row>
        <row r="1378">
          <cell r="D1378">
            <v>3</v>
          </cell>
          <cell r="E1378">
            <v>3.109082E-3</v>
          </cell>
          <cell r="F1378" t="str">
            <v>Liquid</v>
          </cell>
        </row>
        <row r="1379">
          <cell r="D1379">
            <v>3</v>
          </cell>
          <cell r="E1379">
            <v>1.100913E-3</v>
          </cell>
          <cell r="F1379" t="str">
            <v>Liquid</v>
          </cell>
        </row>
        <row r="1380">
          <cell r="D1380">
            <v>3</v>
          </cell>
          <cell r="E1380">
            <v>1.208539E-2</v>
          </cell>
          <cell r="F1380" t="str">
            <v>Liquid</v>
          </cell>
        </row>
        <row r="1381">
          <cell r="D1381">
            <v>3</v>
          </cell>
          <cell r="E1381">
            <v>8.3604639999999997E-3</v>
          </cell>
          <cell r="F1381" t="str">
            <v>Liquid</v>
          </cell>
        </row>
        <row r="1382">
          <cell r="D1382">
            <v>3</v>
          </cell>
          <cell r="E1382">
            <v>4.638801E-2</v>
          </cell>
          <cell r="F1382" t="str">
            <v>Liquid</v>
          </cell>
        </row>
        <row r="1383">
          <cell r="D1383">
            <v>3</v>
          </cell>
          <cell r="E1383">
            <v>2.1375109999999999E-2</v>
          </cell>
          <cell r="F1383" t="str">
            <v>Liquid</v>
          </cell>
        </row>
        <row r="1384">
          <cell r="D1384">
            <v>3</v>
          </cell>
          <cell r="E1384">
            <v>4.9712480000000002E-3</v>
          </cell>
          <cell r="F1384" t="str">
            <v>Liquid</v>
          </cell>
        </row>
        <row r="1385">
          <cell r="D1385">
            <v>3</v>
          </cell>
          <cell r="E1385">
            <v>2.485676E-3</v>
          </cell>
          <cell r="F1385" t="str">
            <v>Liquid</v>
          </cell>
        </row>
        <row r="1386">
          <cell r="D1386">
            <v>4</v>
          </cell>
          <cell r="E1386">
            <v>3.1088299999999999E-3</v>
          </cell>
          <cell r="F1386" t="str">
            <v>Liquid</v>
          </cell>
        </row>
        <row r="1387">
          <cell r="D1387">
            <v>4</v>
          </cell>
          <cell r="E1387">
            <v>4.1028620000000002E-2</v>
          </cell>
          <cell r="F1387" t="str">
            <v>Liquid</v>
          </cell>
        </row>
        <row r="1388">
          <cell r="D1388">
            <v>4</v>
          </cell>
          <cell r="E1388">
            <v>2.4538920000000001E-3</v>
          </cell>
          <cell r="F1388" t="str">
            <v>Liquid</v>
          </cell>
        </row>
        <row r="1389">
          <cell r="D1389">
            <v>4</v>
          </cell>
          <cell r="E1389">
            <v>3.9568950000000002E-3</v>
          </cell>
          <cell r="F1389" t="str">
            <v>Liquid</v>
          </cell>
        </row>
        <row r="1390">
          <cell r="D1390">
            <v>4</v>
          </cell>
          <cell r="E1390">
            <v>2.604706E-3</v>
          </cell>
          <cell r="F1390" t="str">
            <v>Liquid</v>
          </cell>
        </row>
        <row r="1391">
          <cell r="D1391">
            <v>4</v>
          </cell>
          <cell r="E1391">
            <v>8.1125870000000005E-4</v>
          </cell>
          <cell r="F1391" t="str">
            <v>Liquid</v>
          </cell>
        </row>
        <row r="1392">
          <cell r="D1392">
            <v>4</v>
          </cell>
          <cell r="E1392">
            <v>2.3942000000000001E-2</v>
          </cell>
          <cell r="F1392" t="str">
            <v>Liquid</v>
          </cell>
        </row>
        <row r="1393">
          <cell r="D1393">
            <v>4</v>
          </cell>
          <cell r="E1393">
            <v>2.775002E-2</v>
          </cell>
          <cell r="F1393" t="str">
            <v>Liquid</v>
          </cell>
        </row>
        <row r="1394">
          <cell r="D1394">
            <v>4</v>
          </cell>
          <cell r="E1394">
            <v>4.9166319999999998E-3</v>
          </cell>
          <cell r="F1394" t="str">
            <v>Liquid</v>
          </cell>
        </row>
        <row r="1395">
          <cell r="D1395">
            <v>4</v>
          </cell>
          <cell r="E1395">
            <v>2.485667E-3</v>
          </cell>
          <cell r="F1395" t="str">
            <v>Liquid</v>
          </cell>
        </row>
        <row r="1396">
          <cell r="D1396">
            <v>4</v>
          </cell>
          <cell r="E1396">
            <v>2.4856660000000001E-3</v>
          </cell>
          <cell r="F1396" t="str">
            <v>Liquid</v>
          </cell>
        </row>
        <row r="1397">
          <cell r="D1397">
            <v>5</v>
          </cell>
          <cell r="E1397">
            <v>7.3616749999999998E-3</v>
          </cell>
          <cell r="F1397" t="str">
            <v>Liquid</v>
          </cell>
        </row>
        <row r="1398">
          <cell r="D1398">
            <v>5</v>
          </cell>
          <cell r="E1398">
            <v>9.1052590000000003E-2</v>
          </cell>
          <cell r="F1398" t="str">
            <v>Liquid</v>
          </cell>
        </row>
        <row r="1399">
          <cell r="D1399">
            <v>5</v>
          </cell>
          <cell r="E1399">
            <v>7.6131640000000004E-3</v>
          </cell>
          <cell r="F1399" t="str">
            <v>Liquid</v>
          </cell>
        </row>
        <row r="1400">
          <cell r="D1400">
            <v>5</v>
          </cell>
          <cell r="E1400">
            <v>6.2181019999999997E-3</v>
          </cell>
          <cell r="F1400" t="str">
            <v>Liquid</v>
          </cell>
        </row>
        <row r="1401">
          <cell r="D1401">
            <v>5</v>
          </cell>
          <cell r="E1401">
            <v>4.1659399999999999E-2</v>
          </cell>
          <cell r="F1401" t="str">
            <v>Liquid</v>
          </cell>
        </row>
        <row r="1402">
          <cell r="D1402">
            <v>5</v>
          </cell>
          <cell r="E1402">
            <v>1.031729E-2</v>
          </cell>
          <cell r="F1402" t="str">
            <v>Liquid</v>
          </cell>
        </row>
        <row r="1403">
          <cell r="D1403">
            <v>5</v>
          </cell>
          <cell r="E1403">
            <v>2.537273E-2</v>
          </cell>
          <cell r="F1403" t="str">
            <v>Liquid</v>
          </cell>
        </row>
        <row r="1404">
          <cell r="D1404">
            <v>5</v>
          </cell>
          <cell r="E1404">
            <v>4.670771E-2</v>
          </cell>
          <cell r="F1404" t="str">
            <v>Liquid</v>
          </cell>
        </row>
        <row r="1405">
          <cell r="D1405">
            <v>5</v>
          </cell>
          <cell r="E1405">
            <v>1.3690589999999999E-3</v>
          </cell>
          <cell r="F1405" t="str">
            <v>Liquid</v>
          </cell>
        </row>
        <row r="1406">
          <cell r="D1406">
            <v>6</v>
          </cell>
          <cell r="E1406">
            <v>2.4538419999999999E-3</v>
          </cell>
          <cell r="F1406" t="str">
            <v>Liquid</v>
          </cell>
        </row>
        <row r="1407">
          <cell r="D1407">
            <v>6</v>
          </cell>
          <cell r="E1407">
            <v>2.749704E-2</v>
          </cell>
          <cell r="F1407" t="str">
            <v>Liquid</v>
          </cell>
        </row>
        <row r="1408">
          <cell r="D1408">
            <v>6</v>
          </cell>
          <cell r="E1408">
            <v>4.2454529999999997E-2</v>
          </cell>
          <cell r="F1408" t="str">
            <v>Liquid</v>
          </cell>
        </row>
        <row r="1409">
          <cell r="D1409">
            <v>6</v>
          </cell>
          <cell r="E1409">
            <v>6.150221E-3</v>
          </cell>
          <cell r="F1409" t="str">
            <v>Liquid</v>
          </cell>
        </row>
        <row r="1410">
          <cell r="D1410">
            <v>6</v>
          </cell>
          <cell r="E1410">
            <v>3.5182E-3</v>
          </cell>
          <cell r="F1410" t="str">
            <v>Liquid</v>
          </cell>
        </row>
        <row r="1411">
          <cell r="D1411">
            <v>6</v>
          </cell>
          <cell r="E1411">
            <v>4.3330080000000002E-3</v>
          </cell>
          <cell r="F1411" t="str">
            <v>Liquid</v>
          </cell>
        </row>
        <row r="1412">
          <cell r="D1412">
            <v>6</v>
          </cell>
          <cell r="E1412">
            <v>0.1083037</v>
          </cell>
          <cell r="F1412" t="str">
            <v>Liquid</v>
          </cell>
        </row>
        <row r="1413">
          <cell r="D1413">
            <v>6</v>
          </cell>
          <cell r="E1413">
            <v>3.1958140000000003E-2</v>
          </cell>
          <cell r="F1413" t="str">
            <v>Liquid</v>
          </cell>
        </row>
        <row r="1414">
          <cell r="D1414">
            <v>6</v>
          </cell>
          <cell r="E1414">
            <v>1.119065E-2</v>
          </cell>
          <cell r="F1414" t="str">
            <v>Liquid</v>
          </cell>
        </row>
        <row r="1415">
          <cell r="D1415">
            <v>6</v>
          </cell>
          <cell r="E1415">
            <v>2.458315E-3</v>
          </cell>
          <cell r="F1415" t="str">
            <v>Liquid</v>
          </cell>
        </row>
        <row r="1416">
          <cell r="D1416">
            <v>6</v>
          </cell>
          <cell r="E1416">
            <v>2.4856660000000001E-3</v>
          </cell>
          <cell r="F1416" t="str">
            <v>Liquid</v>
          </cell>
        </row>
        <row r="1417">
          <cell r="D1417">
            <v>0</v>
          </cell>
          <cell r="E1417">
            <v>3.4486600000000001E-3</v>
          </cell>
          <cell r="F1417" t="str">
            <v>Liquid</v>
          </cell>
        </row>
        <row r="1418">
          <cell r="D1418">
            <v>0</v>
          </cell>
          <cell r="E1418">
            <v>4.7501690000000003E-3</v>
          </cell>
          <cell r="F1418" t="str">
            <v>Liquid</v>
          </cell>
        </row>
        <row r="1419">
          <cell r="D1419">
            <v>0</v>
          </cell>
          <cell r="E1419">
            <v>4.805864E-3</v>
          </cell>
          <cell r="F1419" t="str">
            <v>Liquid</v>
          </cell>
        </row>
        <row r="1420">
          <cell r="D1420">
            <v>0</v>
          </cell>
          <cell r="E1420">
            <v>4.8246920000000002E-3</v>
          </cell>
          <cell r="F1420" t="str">
            <v>Liquid</v>
          </cell>
        </row>
        <row r="1421">
          <cell r="D1421">
            <v>0</v>
          </cell>
          <cell r="E1421">
            <v>2.4716990000000001E-2</v>
          </cell>
          <cell r="F1421" t="str">
            <v>Liquid</v>
          </cell>
        </row>
        <row r="1422">
          <cell r="D1422">
            <v>0</v>
          </cell>
          <cell r="E1422">
            <v>0.2163631</v>
          </cell>
          <cell r="F1422" t="str">
            <v>Liquid</v>
          </cell>
        </row>
        <row r="1423">
          <cell r="D1423">
            <v>0</v>
          </cell>
          <cell r="E1423">
            <v>0.216173</v>
          </cell>
          <cell r="F1423" t="str">
            <v>Liquid</v>
          </cell>
        </row>
        <row r="1424">
          <cell r="D1424">
            <v>0</v>
          </cell>
          <cell r="E1424">
            <v>1.5003799999999999E-2</v>
          </cell>
          <cell r="F1424" t="str">
            <v>Liquid</v>
          </cell>
        </row>
        <row r="1425">
          <cell r="D1425">
            <v>0</v>
          </cell>
          <cell r="E1425">
            <v>2.587741E-2</v>
          </cell>
          <cell r="F1425" t="str">
            <v>Liquid</v>
          </cell>
        </row>
        <row r="1426">
          <cell r="D1426">
            <v>0</v>
          </cell>
          <cell r="E1426">
            <v>0.87470999999999999</v>
          </cell>
          <cell r="F1426" t="str">
            <v>Liquid</v>
          </cell>
        </row>
        <row r="1427">
          <cell r="D1427">
            <v>0</v>
          </cell>
          <cell r="E1427">
            <v>0.81194940000000004</v>
          </cell>
          <cell r="F1427" t="str">
            <v>Liquid</v>
          </cell>
        </row>
        <row r="1428">
          <cell r="D1428">
            <v>0</v>
          </cell>
          <cell r="E1428">
            <v>0.3412308</v>
          </cell>
          <cell r="F1428" t="str">
            <v>Liquid</v>
          </cell>
        </row>
        <row r="1429">
          <cell r="D1429">
            <v>0</v>
          </cell>
          <cell r="E1429">
            <v>7.6452270000000001E-3</v>
          </cell>
          <cell r="F1429" t="str">
            <v>Liquid</v>
          </cell>
        </row>
        <row r="1430">
          <cell r="D1430">
            <v>0</v>
          </cell>
          <cell r="E1430">
            <v>0.83127640000000003</v>
          </cell>
          <cell r="F1430" t="str">
            <v>Liquid</v>
          </cell>
        </row>
        <row r="1431">
          <cell r="D1431">
            <v>0</v>
          </cell>
          <cell r="E1431">
            <v>1.3986419999999999E-2</v>
          </cell>
          <cell r="F1431" t="str">
            <v>Liquid</v>
          </cell>
        </row>
        <row r="1432">
          <cell r="D1432">
            <v>0</v>
          </cell>
          <cell r="E1432">
            <v>0.1541428</v>
          </cell>
          <cell r="F1432" t="str">
            <v>Liquid</v>
          </cell>
        </row>
        <row r="1433">
          <cell r="D1433">
            <v>0</v>
          </cell>
          <cell r="E1433">
            <v>1.697856E-4</v>
          </cell>
          <cell r="F1433" t="str">
            <v>Liquid</v>
          </cell>
        </row>
        <row r="1434">
          <cell r="D1434">
            <v>0</v>
          </cell>
          <cell r="E1434">
            <v>6.5371310000000003E-4</v>
          </cell>
          <cell r="F1434" t="str">
            <v>Liquid</v>
          </cell>
        </row>
        <row r="1435">
          <cell r="D1435">
            <v>0</v>
          </cell>
          <cell r="E1435">
            <v>6.5371310000000003E-4</v>
          </cell>
          <cell r="F1435" t="str">
            <v>Liquid</v>
          </cell>
        </row>
        <row r="1436">
          <cell r="D1436">
            <v>1</v>
          </cell>
          <cell r="E1436">
            <v>9.8095509999999997E-3</v>
          </cell>
          <cell r="F1436" t="str">
            <v>Liquid</v>
          </cell>
        </row>
        <row r="1437">
          <cell r="D1437">
            <v>1</v>
          </cell>
          <cell r="E1437">
            <v>2.5915080000000002E-3</v>
          </cell>
          <cell r="F1437" t="str">
            <v>Liquid</v>
          </cell>
        </row>
        <row r="1438">
          <cell r="D1438">
            <v>1</v>
          </cell>
          <cell r="E1438">
            <v>4.5329350000000001E-3</v>
          </cell>
          <cell r="F1438" t="str">
            <v>Liquid</v>
          </cell>
        </row>
        <row r="1439">
          <cell r="D1439">
            <v>1</v>
          </cell>
          <cell r="E1439">
            <v>1.647936E-3</v>
          </cell>
          <cell r="F1439" t="str">
            <v>Liquid</v>
          </cell>
        </row>
        <row r="1440">
          <cell r="D1440">
            <v>1</v>
          </cell>
          <cell r="E1440">
            <v>2.5427779999999999E-3</v>
          </cell>
          <cell r="F1440" t="str">
            <v>Liquid</v>
          </cell>
        </row>
        <row r="1441">
          <cell r="D1441">
            <v>1</v>
          </cell>
          <cell r="E1441">
            <v>7.6283180000000003E-3</v>
          </cell>
          <cell r="F1441" t="str">
            <v>Liquid</v>
          </cell>
        </row>
        <row r="1442">
          <cell r="D1442">
            <v>1</v>
          </cell>
          <cell r="E1442">
            <v>1.8398279999999999E-2</v>
          </cell>
          <cell r="F1442" t="str">
            <v>Liquid</v>
          </cell>
        </row>
        <row r="1443">
          <cell r="D1443">
            <v>1</v>
          </cell>
          <cell r="E1443">
            <v>1.779932E-2</v>
          </cell>
          <cell r="F1443" t="str">
            <v>Liquid</v>
          </cell>
        </row>
        <row r="1444">
          <cell r="D1444">
            <v>1</v>
          </cell>
          <cell r="E1444">
            <v>2.5617109999999999E-3</v>
          </cell>
          <cell r="F1444" t="str">
            <v>Liquid</v>
          </cell>
        </row>
        <row r="1445">
          <cell r="D1445">
            <v>1</v>
          </cell>
          <cell r="E1445">
            <v>1.009331E-3</v>
          </cell>
          <cell r="F1445" t="str">
            <v>Liquid</v>
          </cell>
        </row>
        <row r="1446">
          <cell r="D1446">
            <v>1</v>
          </cell>
          <cell r="E1446">
            <v>2.12888E-4</v>
          </cell>
          <cell r="F1446" t="str">
            <v>Liquid</v>
          </cell>
        </row>
        <row r="1447">
          <cell r="D1447">
            <v>1</v>
          </cell>
          <cell r="E1447">
            <v>1.024869E-2</v>
          </cell>
          <cell r="F1447" t="str">
            <v>Liquid</v>
          </cell>
        </row>
        <row r="1448">
          <cell r="D1448">
            <v>1</v>
          </cell>
          <cell r="E1448">
            <v>3.2473580000000001E-3</v>
          </cell>
          <cell r="F1448" t="str">
            <v>Liquid</v>
          </cell>
        </row>
        <row r="1449">
          <cell r="D1449">
            <v>1</v>
          </cell>
          <cell r="E1449">
            <v>6.0106919999999998E-3</v>
          </cell>
          <cell r="F1449" t="str">
            <v>Liquid</v>
          </cell>
        </row>
        <row r="1450">
          <cell r="D1450">
            <v>1</v>
          </cell>
          <cell r="E1450">
            <v>3.6340830000000002E-3</v>
          </cell>
          <cell r="F1450" t="str">
            <v>Liquid</v>
          </cell>
        </row>
        <row r="1451">
          <cell r="D1451">
            <v>1</v>
          </cell>
          <cell r="E1451">
            <v>5.1503240000000004E-3</v>
          </cell>
          <cell r="F1451" t="str">
            <v>Liquid</v>
          </cell>
        </row>
        <row r="1452">
          <cell r="D1452">
            <v>1</v>
          </cell>
          <cell r="E1452">
            <v>4.9075660000000004E-3</v>
          </cell>
          <cell r="F1452" t="str">
            <v>Liquid</v>
          </cell>
        </row>
        <row r="1453">
          <cell r="D1453">
            <v>1</v>
          </cell>
          <cell r="E1453">
            <v>5.2575479999999999E-3</v>
          </cell>
          <cell r="F1453" t="str">
            <v>Liquid</v>
          </cell>
        </row>
        <row r="1454">
          <cell r="D1454">
            <v>1</v>
          </cell>
          <cell r="E1454">
            <v>3.1878739999999998E-3</v>
          </cell>
          <cell r="F1454" t="str">
            <v>Liquid</v>
          </cell>
        </row>
        <row r="1455">
          <cell r="D1455">
            <v>1</v>
          </cell>
          <cell r="E1455">
            <v>2.9617670000000001E-3</v>
          </cell>
          <cell r="F1455" t="str">
            <v>Liquid</v>
          </cell>
        </row>
        <row r="1456">
          <cell r="D1456">
            <v>1</v>
          </cell>
          <cell r="E1456">
            <v>2.4530979999999999E-3</v>
          </cell>
          <cell r="F1456" t="str">
            <v>Liquid</v>
          </cell>
        </row>
        <row r="1457">
          <cell r="D1457">
            <v>1</v>
          </cell>
          <cell r="E1457">
            <v>1.226534E-2</v>
          </cell>
          <cell r="F1457" t="str">
            <v>Liquid</v>
          </cell>
        </row>
        <row r="1458">
          <cell r="D1458">
            <v>1</v>
          </cell>
          <cell r="E1458">
            <v>2.4366269999999998E-3</v>
          </cell>
          <cell r="F1458" t="str">
            <v>Liquid</v>
          </cell>
        </row>
        <row r="1459">
          <cell r="D1459">
            <v>1</v>
          </cell>
          <cell r="E1459">
            <v>3.5478300000000001E-3</v>
          </cell>
          <cell r="F1459" t="str">
            <v>Liquid</v>
          </cell>
        </row>
        <row r="1460">
          <cell r="D1460">
            <v>1</v>
          </cell>
          <cell r="E1460">
            <v>1.748758E-3</v>
          </cell>
          <cell r="F1460" t="str">
            <v>Liquid</v>
          </cell>
        </row>
        <row r="1461">
          <cell r="D1461">
            <v>1</v>
          </cell>
          <cell r="E1461">
            <v>4.8855980000000001E-4</v>
          </cell>
          <cell r="F1461" t="str">
            <v>Liquid</v>
          </cell>
        </row>
        <row r="1462">
          <cell r="D1462">
            <v>1</v>
          </cell>
          <cell r="E1462">
            <v>2.6056500000000002E-3</v>
          </cell>
          <cell r="F1462" t="str">
            <v>Liquid</v>
          </cell>
        </row>
        <row r="1463">
          <cell r="D1463">
            <v>1</v>
          </cell>
          <cell r="E1463">
            <v>1.2199160000000001E-2</v>
          </cell>
          <cell r="F1463" t="str">
            <v>Liquid</v>
          </cell>
        </row>
        <row r="1464">
          <cell r="D1464">
            <v>1</v>
          </cell>
          <cell r="E1464">
            <v>0.78822420000000004</v>
          </cell>
          <cell r="F1464" t="str">
            <v>Liquid</v>
          </cell>
        </row>
        <row r="1465">
          <cell r="D1465">
            <v>1</v>
          </cell>
          <cell r="E1465">
            <v>1.2618829999999999E-2</v>
          </cell>
          <cell r="F1465" t="str">
            <v>Liquid</v>
          </cell>
        </row>
        <row r="1466">
          <cell r="D1466">
            <v>1</v>
          </cell>
          <cell r="E1466">
            <v>2.9448430000000001E-2</v>
          </cell>
          <cell r="F1466" t="str">
            <v>Liquid</v>
          </cell>
        </row>
        <row r="1467">
          <cell r="D1467">
            <v>1</v>
          </cell>
          <cell r="E1467">
            <v>2.0194800000000001E-3</v>
          </cell>
          <cell r="F1467" t="str">
            <v>Liquid</v>
          </cell>
        </row>
        <row r="1468">
          <cell r="D1468">
            <v>1</v>
          </cell>
          <cell r="E1468">
            <v>4.778951E-3</v>
          </cell>
          <cell r="F1468" t="str">
            <v>Liquid</v>
          </cell>
        </row>
        <row r="1469">
          <cell r="D1469">
            <v>1</v>
          </cell>
          <cell r="E1469">
            <v>9.6622870000000003E-3</v>
          </cell>
          <cell r="F1469" t="str">
            <v>Liquid</v>
          </cell>
        </row>
        <row r="1470">
          <cell r="D1470">
            <v>1</v>
          </cell>
          <cell r="E1470">
            <v>2.37681E-2</v>
          </cell>
          <cell r="F1470" t="str">
            <v>Liquid</v>
          </cell>
        </row>
        <row r="1471">
          <cell r="D1471">
            <v>1</v>
          </cell>
          <cell r="E1471">
            <v>2.0563490000000001E-4</v>
          </cell>
          <cell r="F1471" t="str">
            <v>Liquid</v>
          </cell>
        </row>
        <row r="1472">
          <cell r="D1472">
            <v>1</v>
          </cell>
          <cell r="E1472">
            <v>8.0428670000000003E-5</v>
          </cell>
          <cell r="F1472" t="str">
            <v>Liquid</v>
          </cell>
        </row>
        <row r="1473">
          <cell r="D1473">
            <v>1</v>
          </cell>
          <cell r="E1473">
            <v>1.6315279999999999E-3</v>
          </cell>
          <cell r="F1473" t="str">
            <v>Liquid</v>
          </cell>
        </row>
        <row r="1474">
          <cell r="D1474">
            <v>1</v>
          </cell>
          <cell r="E1474">
            <v>1.294001E-2</v>
          </cell>
          <cell r="F1474" t="str">
            <v>Liquid</v>
          </cell>
        </row>
        <row r="1475">
          <cell r="D1475">
            <v>1</v>
          </cell>
          <cell r="E1475">
            <v>1.1304310000000001E-3</v>
          </cell>
          <cell r="F1475" t="str">
            <v>Liquid</v>
          </cell>
        </row>
        <row r="1476">
          <cell r="D1476">
            <v>1</v>
          </cell>
          <cell r="E1476">
            <v>2.6817960000000002E-3</v>
          </cell>
          <cell r="F1476" t="str">
            <v>Liquid</v>
          </cell>
        </row>
        <row r="1477">
          <cell r="D1477">
            <v>1</v>
          </cell>
          <cell r="E1477">
            <v>1.005302E-3</v>
          </cell>
          <cell r="F1477" t="str">
            <v>Liquid</v>
          </cell>
        </row>
        <row r="1478">
          <cell r="D1478">
            <v>1</v>
          </cell>
          <cell r="E1478">
            <v>2.5565100000000001E-3</v>
          </cell>
          <cell r="F1478" t="str">
            <v>Liquid</v>
          </cell>
        </row>
        <row r="1479">
          <cell r="D1479">
            <v>1</v>
          </cell>
          <cell r="E1479">
            <v>3.2277E-3</v>
          </cell>
          <cell r="F1479" t="str">
            <v>Liquid</v>
          </cell>
        </row>
        <row r="1480">
          <cell r="D1480">
            <v>1</v>
          </cell>
          <cell r="E1480">
            <v>2.4312660000000001E-3</v>
          </cell>
          <cell r="F1480" t="str">
            <v>Liquid</v>
          </cell>
        </row>
        <row r="1481">
          <cell r="D1481">
            <v>1</v>
          </cell>
          <cell r="E1481">
            <v>3.2276200000000001E-3</v>
          </cell>
          <cell r="F1481" t="str">
            <v>Liquid</v>
          </cell>
        </row>
        <row r="1482">
          <cell r="D1482">
            <v>1</v>
          </cell>
          <cell r="E1482">
            <v>3.2276179999999998E-3</v>
          </cell>
          <cell r="F1482" t="str">
            <v>Liquid</v>
          </cell>
        </row>
        <row r="1483">
          <cell r="D1483">
            <v>1</v>
          </cell>
          <cell r="E1483">
            <v>2.5981260000000001E-3</v>
          </cell>
          <cell r="F1483" t="str">
            <v>Liquid</v>
          </cell>
        </row>
        <row r="1484">
          <cell r="D1484">
            <v>1</v>
          </cell>
          <cell r="E1484">
            <v>3.2276150000000001E-3</v>
          </cell>
          <cell r="F1484" t="str">
            <v>Liquid</v>
          </cell>
        </row>
        <row r="1485">
          <cell r="D1485">
            <v>1</v>
          </cell>
          <cell r="E1485">
            <v>2.723329E-3</v>
          </cell>
          <cell r="F1485" t="str">
            <v>Liquid</v>
          </cell>
        </row>
        <row r="1486">
          <cell r="D1486">
            <v>1</v>
          </cell>
          <cell r="E1486">
            <v>1.172317E-3</v>
          </cell>
          <cell r="F1486" t="str">
            <v>Liquid</v>
          </cell>
        </row>
        <row r="1487">
          <cell r="D1487">
            <v>1</v>
          </cell>
          <cell r="E1487">
            <v>2.8486470000000002E-3</v>
          </cell>
          <cell r="F1487" t="str">
            <v>Liquid</v>
          </cell>
        </row>
        <row r="1488">
          <cell r="D1488">
            <v>1</v>
          </cell>
          <cell r="E1488">
            <v>1.297521E-3</v>
          </cell>
          <cell r="F1488" t="str">
            <v>Liquid</v>
          </cell>
        </row>
        <row r="1489">
          <cell r="D1489">
            <v>1</v>
          </cell>
          <cell r="E1489">
            <v>1.222614E-2</v>
          </cell>
          <cell r="F1489" t="str">
            <v>Liquid</v>
          </cell>
        </row>
        <row r="1490">
          <cell r="D1490">
            <v>1</v>
          </cell>
          <cell r="E1490">
            <v>2.6015959999999999E-3</v>
          </cell>
          <cell r="F1490" t="str">
            <v>Liquid</v>
          </cell>
        </row>
        <row r="1491">
          <cell r="D1491">
            <v>1</v>
          </cell>
          <cell r="E1491">
            <v>2.6015470000000001E-3</v>
          </cell>
          <cell r="F1491" t="str">
            <v>Liquid</v>
          </cell>
        </row>
        <row r="1492">
          <cell r="D1492">
            <v>1</v>
          </cell>
          <cell r="E1492">
            <v>5.2031380000000004E-3</v>
          </cell>
          <cell r="F1492" t="str">
            <v>Liquid</v>
          </cell>
        </row>
        <row r="1493">
          <cell r="D1493">
            <v>1</v>
          </cell>
          <cell r="E1493">
            <v>1.6984330000000001E-3</v>
          </cell>
          <cell r="F1493" t="str">
            <v>Liquid</v>
          </cell>
        </row>
        <row r="1494">
          <cell r="D1494">
            <v>1</v>
          </cell>
          <cell r="E1494">
            <v>1.300785E-2</v>
          </cell>
          <cell r="F1494" t="str">
            <v>Liquid</v>
          </cell>
        </row>
        <row r="1495">
          <cell r="D1495">
            <v>1</v>
          </cell>
          <cell r="E1495">
            <v>0.80930670000000005</v>
          </cell>
          <cell r="F1495" t="str">
            <v>Liquid</v>
          </cell>
        </row>
        <row r="1496">
          <cell r="D1496">
            <v>1</v>
          </cell>
          <cell r="E1496">
            <v>1.059627E-2</v>
          </cell>
          <cell r="F1496" t="str">
            <v>Liquid</v>
          </cell>
        </row>
        <row r="1497">
          <cell r="D1497">
            <v>1</v>
          </cell>
          <cell r="E1497">
            <v>2.97849E-2</v>
          </cell>
          <cell r="F1497" t="str">
            <v>Liquid</v>
          </cell>
        </row>
        <row r="1498">
          <cell r="D1498">
            <v>1</v>
          </cell>
          <cell r="E1498">
            <v>3.1753490000000001E-3</v>
          </cell>
          <cell r="F1498" t="str">
            <v>Liquid</v>
          </cell>
        </row>
        <row r="1499">
          <cell r="D1499">
            <v>1</v>
          </cell>
          <cell r="E1499">
            <v>4.6135960000000002E-3</v>
          </cell>
          <cell r="F1499" t="str">
            <v>Liquid</v>
          </cell>
        </row>
        <row r="1500">
          <cell r="D1500">
            <v>1</v>
          </cell>
          <cell r="E1500">
            <v>1.285203E-2</v>
          </cell>
          <cell r="F1500" t="str">
            <v>Liquid</v>
          </cell>
        </row>
        <row r="1501">
          <cell r="D1501">
            <v>1</v>
          </cell>
          <cell r="E1501">
            <v>1.6186280000000001E-2</v>
          </cell>
          <cell r="F1501" t="str">
            <v>Liquid</v>
          </cell>
        </row>
        <row r="1502">
          <cell r="D1502">
            <v>1</v>
          </cell>
          <cell r="E1502">
            <v>6.1877259999999995E-4</v>
          </cell>
          <cell r="F1502" t="str">
            <v>Liquid</v>
          </cell>
        </row>
        <row r="1503">
          <cell r="D1503">
            <v>1</v>
          </cell>
          <cell r="E1503">
            <v>7.0677819999999999E-3</v>
          </cell>
          <cell r="F1503" t="str">
            <v>Liquid</v>
          </cell>
        </row>
        <row r="1504">
          <cell r="D1504">
            <v>1</v>
          </cell>
          <cell r="E1504">
            <v>1.7914020000000001E-4</v>
          </cell>
          <cell r="F1504" t="str">
            <v>Liquid</v>
          </cell>
        </row>
        <row r="1505">
          <cell r="D1505">
            <v>1</v>
          </cell>
          <cell r="E1505">
            <v>1.737038E-3</v>
          </cell>
          <cell r="F1505" t="str">
            <v>Liquid</v>
          </cell>
        </row>
        <row r="1506">
          <cell r="D1506">
            <v>1</v>
          </cell>
          <cell r="E1506">
            <v>6.9299970000000002E-5</v>
          </cell>
          <cell r="F1506" t="str">
            <v>Liquid</v>
          </cell>
        </row>
        <row r="1507">
          <cell r="D1507">
            <v>1</v>
          </cell>
          <cell r="E1507">
            <v>1.627119E-3</v>
          </cell>
          <cell r="F1507" t="str">
            <v>Liquid</v>
          </cell>
        </row>
        <row r="1508">
          <cell r="D1508">
            <v>1</v>
          </cell>
          <cell r="E1508">
            <v>3.1850160000000001E-3</v>
          </cell>
          <cell r="F1508" t="str">
            <v>Liquid</v>
          </cell>
        </row>
        <row r="1509">
          <cell r="D1509">
            <v>1</v>
          </cell>
          <cell r="E1509">
            <v>1.5173560000000001E-3</v>
          </cell>
          <cell r="F1509" t="str">
            <v>Liquid</v>
          </cell>
        </row>
        <row r="1510">
          <cell r="D1510">
            <v>1</v>
          </cell>
          <cell r="E1510">
            <v>3.0750590000000002E-3</v>
          </cell>
          <cell r="F1510" t="str">
            <v>Liquid</v>
          </cell>
        </row>
        <row r="1511">
          <cell r="D1511">
            <v>1</v>
          </cell>
          <cell r="E1511">
            <v>2.965217E-3</v>
          </cell>
          <cell r="F1511" t="str">
            <v>Liquid</v>
          </cell>
        </row>
        <row r="1512">
          <cell r="D1512">
            <v>1</v>
          </cell>
          <cell r="E1512">
            <v>3.2255130000000002E-3</v>
          </cell>
          <cell r="F1512" t="str">
            <v>Liquid</v>
          </cell>
        </row>
        <row r="1513">
          <cell r="D1513">
            <v>1</v>
          </cell>
          <cell r="E1513">
            <v>2.8552970000000001E-3</v>
          </cell>
          <cell r="F1513" t="str">
            <v>Liquid</v>
          </cell>
        </row>
        <row r="1514">
          <cell r="D1514">
            <v>1</v>
          </cell>
          <cell r="E1514">
            <v>3.2254330000000002E-3</v>
          </cell>
          <cell r="F1514" t="str">
            <v>Liquid</v>
          </cell>
        </row>
        <row r="1515">
          <cell r="D1515">
            <v>1</v>
          </cell>
          <cell r="E1515">
            <v>2.0378689999999999E-3</v>
          </cell>
          <cell r="F1515" t="str">
            <v>Liquid</v>
          </cell>
        </row>
        <row r="1516">
          <cell r="D1516">
            <v>1</v>
          </cell>
          <cell r="E1516">
            <v>3.225431E-3</v>
          </cell>
          <cell r="F1516" t="str">
            <v>Liquid</v>
          </cell>
        </row>
        <row r="1517">
          <cell r="D1517">
            <v>1</v>
          </cell>
          <cell r="E1517">
            <v>2.147707E-3</v>
          </cell>
          <cell r="F1517" t="str">
            <v>Liquid</v>
          </cell>
        </row>
        <row r="1518">
          <cell r="D1518">
            <v>1</v>
          </cell>
          <cell r="E1518">
            <v>5.8989320000000004E-4</v>
          </cell>
          <cell r="F1518" t="str">
            <v>Liquid</v>
          </cell>
        </row>
        <row r="1519">
          <cell r="D1519">
            <v>1</v>
          </cell>
          <cell r="E1519">
            <v>1.232215E-2</v>
          </cell>
          <cell r="F1519" t="str">
            <v>Liquid</v>
          </cell>
        </row>
        <row r="1520">
          <cell r="D1520">
            <v>2</v>
          </cell>
          <cell r="E1520">
            <v>4.9183080000000001E-4</v>
          </cell>
          <cell r="F1520" t="str">
            <v>Liquid</v>
          </cell>
        </row>
        <row r="1521">
          <cell r="D1521">
            <v>2</v>
          </cell>
          <cell r="E1521">
            <v>2.7820710000000001E-3</v>
          </cell>
          <cell r="F1521" t="str">
            <v>Liquid</v>
          </cell>
        </row>
        <row r="1522">
          <cell r="D1522">
            <v>2</v>
          </cell>
          <cell r="E1522">
            <v>1.0031770000000001E-2</v>
          </cell>
          <cell r="F1522" t="str">
            <v>Liquid</v>
          </cell>
        </row>
        <row r="1523">
          <cell r="D1523">
            <v>2</v>
          </cell>
          <cell r="E1523">
            <v>1.63868E-2</v>
          </cell>
          <cell r="F1523" t="str">
            <v>Liquid</v>
          </cell>
        </row>
        <row r="1524">
          <cell r="D1524">
            <v>2</v>
          </cell>
          <cell r="E1524">
            <v>2.4523140000000001E-3</v>
          </cell>
          <cell r="F1524" t="str">
            <v>Liquid</v>
          </cell>
        </row>
        <row r="1525">
          <cell r="D1525">
            <v>2</v>
          </cell>
          <cell r="E1525">
            <v>1.9089910000000001E-3</v>
          </cell>
          <cell r="F1525" t="str">
            <v>Liquid</v>
          </cell>
        </row>
        <row r="1526">
          <cell r="D1526">
            <v>2</v>
          </cell>
          <cell r="E1526">
            <v>2.1468300000000002E-3</v>
          </cell>
          <cell r="F1526" t="str">
            <v>Liquid</v>
          </cell>
        </row>
        <row r="1527">
          <cell r="D1527">
            <v>2</v>
          </cell>
          <cell r="E1527">
            <v>2.5427890000000002E-3</v>
          </cell>
          <cell r="F1527" t="str">
            <v>Liquid</v>
          </cell>
        </row>
        <row r="1528">
          <cell r="D1528">
            <v>2</v>
          </cell>
          <cell r="E1528">
            <v>7.6283150000000001E-3</v>
          </cell>
          <cell r="F1528" t="str">
            <v>Liquid</v>
          </cell>
        </row>
        <row r="1529">
          <cell r="D1529">
            <v>2</v>
          </cell>
          <cell r="E1529">
            <v>1.493978E-3</v>
          </cell>
          <cell r="F1529" t="str">
            <v>Liquid</v>
          </cell>
        </row>
        <row r="1530">
          <cell r="D1530">
            <v>2</v>
          </cell>
          <cell r="E1530">
            <v>5.0855609999999997E-3</v>
          </cell>
          <cell r="F1530" t="str">
            <v>Liquid</v>
          </cell>
        </row>
        <row r="1531">
          <cell r="D1531">
            <v>2</v>
          </cell>
          <cell r="E1531">
            <v>2.542777E-3</v>
          </cell>
          <cell r="F1531" t="str">
            <v>Liquid</v>
          </cell>
        </row>
        <row r="1532">
          <cell r="D1532">
            <v>2</v>
          </cell>
          <cell r="E1532">
            <v>2.5427750000000002E-3</v>
          </cell>
          <cell r="F1532" t="str">
            <v>Liquid</v>
          </cell>
        </row>
        <row r="1533">
          <cell r="D1533">
            <v>2</v>
          </cell>
          <cell r="E1533">
            <v>9.1610220000000006E-2</v>
          </cell>
          <cell r="F1533" t="str">
            <v>Liquid</v>
          </cell>
        </row>
        <row r="1534">
          <cell r="D1534">
            <v>2</v>
          </cell>
          <cell r="E1534">
            <v>5.0725739999999998E-3</v>
          </cell>
          <cell r="F1534" t="str">
            <v>Liquid</v>
          </cell>
        </row>
        <row r="1535">
          <cell r="D1535">
            <v>2</v>
          </cell>
          <cell r="E1535">
            <v>5.1234189999999997E-3</v>
          </cell>
          <cell r="F1535" t="str">
            <v>Liquid</v>
          </cell>
        </row>
        <row r="1536">
          <cell r="D1536">
            <v>2</v>
          </cell>
          <cell r="E1536">
            <v>1.3601119999999999E-3</v>
          </cell>
          <cell r="F1536" t="str">
            <v>Liquid</v>
          </cell>
        </row>
        <row r="1537">
          <cell r="D1537">
            <v>2</v>
          </cell>
          <cell r="E1537">
            <v>1.6871810000000001E-2</v>
          </cell>
          <cell r="F1537" t="str">
            <v>Liquid</v>
          </cell>
        </row>
        <row r="1538">
          <cell r="D1538">
            <v>2</v>
          </cell>
          <cell r="E1538">
            <v>2.5872960000000002E-3</v>
          </cell>
          <cell r="F1538" t="str">
            <v>Liquid</v>
          </cell>
        </row>
        <row r="1539">
          <cell r="D1539">
            <v>2</v>
          </cell>
          <cell r="E1539">
            <v>4.8408179999999998E-4</v>
          </cell>
          <cell r="F1539" t="str">
            <v>Liquid</v>
          </cell>
        </row>
        <row r="1540">
          <cell r="D1540">
            <v>2</v>
          </cell>
          <cell r="E1540">
            <v>3.6340830000000002E-3</v>
          </cell>
          <cell r="F1540" t="str">
            <v>Liquid</v>
          </cell>
        </row>
        <row r="1541">
          <cell r="D1541">
            <v>2</v>
          </cell>
          <cell r="E1541">
            <v>5.0327870000000004E-3</v>
          </cell>
          <cell r="F1541" t="str">
            <v>Liquid</v>
          </cell>
        </row>
        <row r="1542">
          <cell r="D1542">
            <v>2</v>
          </cell>
          <cell r="E1542">
            <v>4.9166749999999997E-3</v>
          </cell>
          <cell r="F1542" t="str">
            <v>Liquid</v>
          </cell>
        </row>
        <row r="1543">
          <cell r="D1543">
            <v>2</v>
          </cell>
          <cell r="E1543">
            <v>1.154064E-3</v>
          </cell>
          <cell r="F1543" t="str">
            <v>Liquid</v>
          </cell>
        </row>
        <row r="1544">
          <cell r="D1544">
            <v>2</v>
          </cell>
          <cell r="E1544">
            <v>3.1343669999999999E-3</v>
          </cell>
          <cell r="F1544" t="str">
            <v>Liquid</v>
          </cell>
        </row>
        <row r="1545">
          <cell r="D1545">
            <v>2</v>
          </cell>
          <cell r="E1545">
            <v>1.7268870000000001E-3</v>
          </cell>
          <cell r="F1545" t="str">
            <v>Liquid</v>
          </cell>
        </row>
        <row r="1546">
          <cell r="D1546">
            <v>2</v>
          </cell>
          <cell r="E1546">
            <v>1.5532339999999999E-3</v>
          </cell>
          <cell r="F1546" t="str">
            <v>Liquid</v>
          </cell>
        </row>
        <row r="1547">
          <cell r="D1547">
            <v>2</v>
          </cell>
          <cell r="E1547">
            <v>1.006854E-3</v>
          </cell>
          <cell r="F1547" t="str">
            <v>Liquid</v>
          </cell>
        </row>
        <row r="1548">
          <cell r="D1548">
            <v>2</v>
          </cell>
          <cell r="E1548">
            <v>9.3794800000000005E-5</v>
          </cell>
          <cell r="F1548" t="str">
            <v>Liquid</v>
          </cell>
        </row>
        <row r="1549">
          <cell r="D1549">
            <v>2</v>
          </cell>
          <cell r="E1549">
            <v>2.4553890000000001E-3</v>
          </cell>
          <cell r="F1549" t="str">
            <v>Liquid</v>
          </cell>
        </row>
        <row r="1550">
          <cell r="D1550">
            <v>2</v>
          </cell>
          <cell r="E1550">
            <v>2.6036779999999999E-3</v>
          </cell>
          <cell r="F1550" t="str">
            <v>Liquid</v>
          </cell>
        </row>
        <row r="1551">
          <cell r="D1551">
            <v>2</v>
          </cell>
          <cell r="E1551">
            <v>1.6668410000000001E-3</v>
          </cell>
          <cell r="F1551" t="str">
            <v>Liquid</v>
          </cell>
        </row>
        <row r="1552">
          <cell r="D1552">
            <v>2</v>
          </cell>
          <cell r="E1552">
            <v>4.7174590000000001E-4</v>
          </cell>
          <cell r="F1552" t="str">
            <v>Liquid</v>
          </cell>
        </row>
        <row r="1553">
          <cell r="D1553">
            <v>2</v>
          </cell>
          <cell r="E1553">
            <v>1.880917E-3</v>
          </cell>
          <cell r="F1553" t="str">
            <v>Liquid</v>
          </cell>
        </row>
        <row r="1554">
          <cell r="D1554">
            <v>2</v>
          </cell>
          <cell r="E1554">
            <v>6.8586839999999999E-4</v>
          </cell>
          <cell r="F1554" t="str">
            <v>Liquid</v>
          </cell>
        </row>
        <row r="1555">
          <cell r="D1555">
            <v>2</v>
          </cell>
          <cell r="E1555">
            <v>1.8161760000000001E-3</v>
          </cell>
          <cell r="F1555" t="str">
            <v>Liquid</v>
          </cell>
        </row>
        <row r="1556">
          <cell r="D1556">
            <v>2</v>
          </cell>
          <cell r="E1556">
            <v>7.2109799999999999E-4</v>
          </cell>
          <cell r="F1556" t="str">
            <v>Liquid</v>
          </cell>
        </row>
        <row r="1557">
          <cell r="D1557">
            <v>2</v>
          </cell>
          <cell r="E1557">
            <v>8.0428010000000002E-4</v>
          </cell>
          <cell r="F1557" t="str">
            <v>Liquid</v>
          </cell>
        </row>
        <row r="1558">
          <cell r="D1558">
            <v>2</v>
          </cell>
          <cell r="E1558">
            <v>2.1484709999999999E-3</v>
          </cell>
          <cell r="F1558" t="str">
            <v>Liquid</v>
          </cell>
        </row>
        <row r="1559">
          <cell r="D1559">
            <v>2</v>
          </cell>
          <cell r="E1559">
            <v>8.8728159999999995E-4</v>
          </cell>
          <cell r="F1559" t="str">
            <v>Liquid</v>
          </cell>
        </row>
        <row r="1560">
          <cell r="D1560">
            <v>2</v>
          </cell>
          <cell r="E1560">
            <v>1.3003010000000001E-4</v>
          </cell>
          <cell r="F1560" t="str">
            <v>Liquid</v>
          </cell>
        </row>
        <row r="1561">
          <cell r="D1561">
            <v>2</v>
          </cell>
          <cell r="E1561">
            <v>2.1517389999999999E-4</v>
          </cell>
          <cell r="F1561" t="str">
            <v>Liquid</v>
          </cell>
        </row>
        <row r="1562">
          <cell r="D1562">
            <v>2</v>
          </cell>
          <cell r="E1562">
            <v>5.2114759999999996E-3</v>
          </cell>
          <cell r="F1562" t="str">
            <v>Liquid</v>
          </cell>
        </row>
        <row r="1563">
          <cell r="D1563">
            <v>2</v>
          </cell>
          <cell r="E1563">
            <v>6.2386789999999996E-3</v>
          </cell>
          <cell r="F1563" t="str">
            <v>Liquid</v>
          </cell>
        </row>
        <row r="1564">
          <cell r="D1564">
            <v>2</v>
          </cell>
          <cell r="E1564">
            <v>1.663618E-3</v>
          </cell>
          <cell r="F1564" t="str">
            <v>Liquid</v>
          </cell>
        </row>
        <row r="1565">
          <cell r="D1565">
            <v>2</v>
          </cell>
          <cell r="E1565">
            <v>8.5689380000000001E-4</v>
          </cell>
          <cell r="F1565" t="str">
            <v>Liquid</v>
          </cell>
        </row>
        <row r="1566">
          <cell r="D1566">
            <v>2</v>
          </cell>
          <cell r="E1566">
            <v>7.3284839999999997E-3</v>
          </cell>
          <cell r="F1566" t="str">
            <v>Liquid</v>
          </cell>
        </row>
        <row r="1567">
          <cell r="D1567">
            <v>2</v>
          </cell>
          <cell r="E1567">
            <v>1.4357809999999999E-3</v>
          </cell>
          <cell r="F1567" t="str">
            <v>Liquid</v>
          </cell>
        </row>
        <row r="1568">
          <cell r="D1568">
            <v>2</v>
          </cell>
          <cell r="E1568">
            <v>5.471902E-2</v>
          </cell>
          <cell r="F1568" t="str">
            <v>Liquid</v>
          </cell>
        </row>
        <row r="1569">
          <cell r="D1569">
            <v>2</v>
          </cell>
          <cell r="E1569">
            <v>1.827352E-3</v>
          </cell>
          <cell r="F1569" t="str">
            <v>Liquid</v>
          </cell>
        </row>
        <row r="1570">
          <cell r="D1570">
            <v>2</v>
          </cell>
          <cell r="E1570">
            <v>5.0475770000000001E-3</v>
          </cell>
          <cell r="F1570" t="str">
            <v>Liquid</v>
          </cell>
        </row>
        <row r="1571">
          <cell r="D1571">
            <v>2</v>
          </cell>
          <cell r="E1571">
            <v>9.2318330000000004E-2</v>
          </cell>
          <cell r="F1571" t="str">
            <v>Liquid</v>
          </cell>
        </row>
        <row r="1572">
          <cell r="D1572">
            <v>2</v>
          </cell>
          <cell r="E1572">
            <v>1.5184269999999999E-3</v>
          </cell>
          <cell r="F1572" t="str">
            <v>Liquid</v>
          </cell>
        </row>
        <row r="1573">
          <cell r="D1573">
            <v>2</v>
          </cell>
          <cell r="E1573">
            <v>3.6211889999999997E-2</v>
          </cell>
          <cell r="F1573" t="str">
            <v>Liquid</v>
          </cell>
        </row>
        <row r="1574">
          <cell r="D1574">
            <v>2</v>
          </cell>
          <cell r="E1574">
            <v>4.6744619999999999E-3</v>
          </cell>
          <cell r="F1574" t="str">
            <v>Liquid</v>
          </cell>
        </row>
        <row r="1575">
          <cell r="D1575">
            <v>2</v>
          </cell>
          <cell r="E1575">
            <v>8.800956E-4</v>
          </cell>
          <cell r="F1575" t="str">
            <v>Liquid</v>
          </cell>
        </row>
        <row r="1576">
          <cell r="D1576">
            <v>2</v>
          </cell>
          <cell r="E1576">
            <v>3.060756E-3</v>
          </cell>
          <cell r="F1576" t="str">
            <v>Liquid</v>
          </cell>
        </row>
        <row r="1577">
          <cell r="D1577">
            <v>2</v>
          </cell>
          <cell r="E1577">
            <v>2.8103020000000002E-3</v>
          </cell>
          <cell r="F1577" t="str">
            <v>Liquid</v>
          </cell>
        </row>
        <row r="1578">
          <cell r="D1578">
            <v>2</v>
          </cell>
          <cell r="E1578">
            <v>6.166393E-3</v>
          </cell>
          <cell r="F1578" t="str">
            <v>Liquid</v>
          </cell>
        </row>
        <row r="1579">
          <cell r="D1579">
            <v>2</v>
          </cell>
          <cell r="E1579">
            <v>1.9301679999999999E-3</v>
          </cell>
          <cell r="F1579" t="str">
            <v>Liquid</v>
          </cell>
        </row>
        <row r="1580">
          <cell r="D1580">
            <v>2</v>
          </cell>
          <cell r="E1580">
            <v>3.227611E-3</v>
          </cell>
          <cell r="F1580" t="str">
            <v>Liquid</v>
          </cell>
        </row>
        <row r="1581">
          <cell r="D1581">
            <v>2</v>
          </cell>
          <cell r="E1581">
            <v>2.974006E-3</v>
          </cell>
          <cell r="F1581" t="str">
            <v>Liquid</v>
          </cell>
        </row>
        <row r="1582">
          <cell r="D1582">
            <v>2</v>
          </cell>
          <cell r="E1582">
            <v>1.4227619999999999E-3</v>
          </cell>
          <cell r="F1582" t="str">
            <v>Liquid</v>
          </cell>
        </row>
        <row r="1583">
          <cell r="D1583">
            <v>2</v>
          </cell>
          <cell r="E1583">
            <v>8.5015639999999996E-3</v>
          </cell>
          <cell r="F1583" t="str">
            <v>Liquid</v>
          </cell>
        </row>
        <row r="1584">
          <cell r="D1584">
            <v>2</v>
          </cell>
          <cell r="E1584">
            <v>2.454183E-3</v>
          </cell>
          <cell r="F1584" t="str">
            <v>Liquid</v>
          </cell>
        </row>
        <row r="1585">
          <cell r="D1585">
            <v>2</v>
          </cell>
          <cell r="E1585">
            <v>9.6930469999999996E-4</v>
          </cell>
          <cell r="F1585" t="str">
            <v>Liquid</v>
          </cell>
        </row>
        <row r="1586">
          <cell r="D1586">
            <v>2</v>
          </cell>
          <cell r="E1586">
            <v>7.680915E-4</v>
          </cell>
          <cell r="F1586" t="str">
            <v>Liquid</v>
          </cell>
        </row>
        <row r="1587">
          <cell r="D1587">
            <v>2</v>
          </cell>
          <cell r="E1587">
            <v>1.1107669999999999E-3</v>
          </cell>
          <cell r="F1587" t="str">
            <v>Liquid</v>
          </cell>
        </row>
        <row r="1588">
          <cell r="D1588">
            <v>2</v>
          </cell>
          <cell r="E1588">
            <v>4.1936029999999997E-3</v>
          </cell>
          <cell r="F1588" t="str">
            <v>Liquid</v>
          </cell>
        </row>
        <row r="1589">
          <cell r="D1589">
            <v>2</v>
          </cell>
          <cell r="E1589">
            <v>1.2490680000000001E-3</v>
          </cell>
          <cell r="F1589" t="str">
            <v>Liquid</v>
          </cell>
        </row>
        <row r="1590">
          <cell r="D1590">
            <v>2</v>
          </cell>
          <cell r="E1590">
            <v>2.6015959999999999E-3</v>
          </cell>
          <cell r="F1590" t="str">
            <v>Liquid</v>
          </cell>
        </row>
        <row r="1591">
          <cell r="D1591">
            <v>2</v>
          </cell>
          <cell r="E1591">
            <v>2.0337380000000002E-3</v>
          </cell>
          <cell r="F1591" t="str">
            <v>Liquid</v>
          </cell>
        </row>
        <row r="1592">
          <cell r="D1592">
            <v>2</v>
          </cell>
          <cell r="E1592">
            <v>2.6016390000000002E-3</v>
          </cell>
          <cell r="F1592" t="str">
            <v>Liquid</v>
          </cell>
        </row>
        <row r="1593">
          <cell r="D1593">
            <v>2</v>
          </cell>
          <cell r="E1593">
            <v>5.1088090000000003E-2</v>
          </cell>
          <cell r="F1593" t="str">
            <v>Liquid</v>
          </cell>
        </row>
        <row r="1594">
          <cell r="D1594">
            <v>2</v>
          </cell>
          <cell r="E1594">
            <v>2.523895E-3</v>
          </cell>
          <cell r="F1594" t="str">
            <v>Liquid</v>
          </cell>
        </row>
        <row r="1595">
          <cell r="D1595">
            <v>2</v>
          </cell>
          <cell r="E1595">
            <v>1.7301089999999999E-5</v>
          </cell>
          <cell r="F1595" t="str">
            <v>Liquid</v>
          </cell>
        </row>
        <row r="1596">
          <cell r="D1596">
            <v>2</v>
          </cell>
          <cell r="E1596">
            <v>5.0477830000000001E-3</v>
          </cell>
          <cell r="F1596" t="str">
            <v>Liquid</v>
          </cell>
        </row>
        <row r="1597">
          <cell r="D1597">
            <v>2</v>
          </cell>
          <cell r="E1597">
            <v>9.4019350000000002E-2</v>
          </cell>
          <cell r="F1597" t="str">
            <v>Liquid</v>
          </cell>
        </row>
        <row r="1598">
          <cell r="D1598">
            <v>2</v>
          </cell>
          <cell r="E1598">
            <v>2.7359139999999999E-3</v>
          </cell>
          <cell r="F1598" t="str">
            <v>Liquid</v>
          </cell>
        </row>
        <row r="1599">
          <cell r="D1599">
            <v>2</v>
          </cell>
          <cell r="E1599">
            <v>3.5091379999999998E-2</v>
          </cell>
          <cell r="F1599" t="str">
            <v>Liquid</v>
          </cell>
        </row>
        <row r="1600">
          <cell r="D1600">
            <v>2</v>
          </cell>
          <cell r="E1600">
            <v>1.497967E-3</v>
          </cell>
          <cell r="F1600" t="str">
            <v>Liquid</v>
          </cell>
        </row>
        <row r="1601">
          <cell r="D1601">
            <v>2</v>
          </cell>
          <cell r="E1601">
            <v>1.4074000000000001E-3</v>
          </cell>
          <cell r="F1601" t="str">
            <v>Liquid</v>
          </cell>
        </row>
        <row r="1602">
          <cell r="D1602">
            <v>2</v>
          </cell>
          <cell r="E1602">
            <v>1.297482E-3</v>
          </cell>
          <cell r="F1602" t="str">
            <v>Liquid</v>
          </cell>
        </row>
        <row r="1603">
          <cell r="D1603">
            <v>2</v>
          </cell>
          <cell r="E1603">
            <v>3.9332120000000002E-3</v>
          </cell>
          <cell r="F1603" t="str">
            <v>Liquid</v>
          </cell>
        </row>
        <row r="1604">
          <cell r="D1604">
            <v>2</v>
          </cell>
          <cell r="E1604">
            <v>1.077801E-3</v>
          </cell>
          <cell r="F1604" t="str">
            <v>Liquid</v>
          </cell>
        </row>
        <row r="1605">
          <cell r="D1605">
            <v>2</v>
          </cell>
          <cell r="E1605">
            <v>2.635536E-3</v>
          </cell>
          <cell r="F1605" t="str">
            <v>Liquid</v>
          </cell>
        </row>
        <row r="1606">
          <cell r="D1606">
            <v>2</v>
          </cell>
          <cell r="E1606">
            <v>3.2255069999999999E-3</v>
          </cell>
          <cell r="F1606" t="str">
            <v>Liquid</v>
          </cell>
        </row>
        <row r="1607">
          <cell r="D1607">
            <v>2</v>
          </cell>
          <cell r="E1607">
            <v>2.2575450000000001E-3</v>
          </cell>
          <cell r="F1607" t="str">
            <v>Liquid</v>
          </cell>
        </row>
        <row r="1608">
          <cell r="D1608">
            <v>2</v>
          </cell>
          <cell r="E1608">
            <v>6.9965469999999999E-4</v>
          </cell>
          <cell r="F1608" t="str">
            <v>Liquid</v>
          </cell>
        </row>
        <row r="1609">
          <cell r="D1609">
            <v>2</v>
          </cell>
          <cell r="E1609">
            <v>9.5214089999999998E-3</v>
          </cell>
          <cell r="F1609" t="str">
            <v>Liquid</v>
          </cell>
        </row>
        <row r="1610">
          <cell r="D1610">
            <v>3</v>
          </cell>
          <cell r="E1610">
            <v>1.227321E-2</v>
          </cell>
          <cell r="F1610" t="str">
            <v>Liquid</v>
          </cell>
        </row>
        <row r="1611">
          <cell r="D1611">
            <v>3</v>
          </cell>
          <cell r="E1611">
            <v>2.806003E-2</v>
          </cell>
          <cell r="F1611" t="str">
            <v>Liquid</v>
          </cell>
        </row>
        <row r="1612">
          <cell r="D1612">
            <v>3</v>
          </cell>
          <cell r="E1612">
            <v>1.227321E-2</v>
          </cell>
          <cell r="F1612" t="str">
            <v>Liquid</v>
          </cell>
        </row>
        <row r="1613">
          <cell r="D1613">
            <v>3</v>
          </cell>
          <cell r="E1613">
            <v>2.78756E-2</v>
          </cell>
          <cell r="F1613" t="str">
            <v>Liquid</v>
          </cell>
        </row>
        <row r="1614">
          <cell r="D1614">
            <v>3</v>
          </cell>
          <cell r="E1614">
            <v>9.3252230000000005E-3</v>
          </cell>
          <cell r="F1614" t="str">
            <v>Liquid</v>
          </cell>
        </row>
        <row r="1615">
          <cell r="D1615">
            <v>3</v>
          </cell>
          <cell r="E1615">
            <v>3.511742E-3</v>
          </cell>
          <cell r="F1615" t="str">
            <v>Liquid</v>
          </cell>
        </row>
        <row r="1616">
          <cell r="D1616">
            <v>3</v>
          </cell>
          <cell r="E1616">
            <v>7.008502E-4</v>
          </cell>
          <cell r="F1616" t="str">
            <v>Liquid</v>
          </cell>
        </row>
        <row r="1617">
          <cell r="D1617">
            <v>3</v>
          </cell>
          <cell r="E1617">
            <v>6.2733549999999999E-2</v>
          </cell>
          <cell r="F1617" t="str">
            <v>Liquid</v>
          </cell>
        </row>
        <row r="1618">
          <cell r="D1618">
            <v>3</v>
          </cell>
          <cell r="E1618">
            <v>3.3050789999999998E-3</v>
          </cell>
          <cell r="F1618" t="str">
            <v>Liquid</v>
          </cell>
        </row>
        <row r="1619">
          <cell r="D1619">
            <v>3</v>
          </cell>
          <cell r="E1619">
            <v>1.5021959999999999E-3</v>
          </cell>
          <cell r="F1619" t="str">
            <v>Liquid</v>
          </cell>
        </row>
        <row r="1620">
          <cell r="D1620">
            <v>3</v>
          </cell>
          <cell r="E1620">
            <v>2.4523629999999999E-3</v>
          </cell>
          <cell r="F1620" t="str">
            <v>Liquid</v>
          </cell>
        </row>
        <row r="1621">
          <cell r="D1621">
            <v>3</v>
          </cell>
          <cell r="E1621">
            <v>3.2209600000000001E-3</v>
          </cell>
          <cell r="F1621" t="str">
            <v>Liquid</v>
          </cell>
        </row>
        <row r="1622">
          <cell r="D1622">
            <v>3</v>
          </cell>
          <cell r="E1622">
            <v>8.9483279999999998E-4</v>
          </cell>
          <cell r="F1622" t="str">
            <v>Liquid</v>
          </cell>
        </row>
        <row r="1623">
          <cell r="D1623">
            <v>3</v>
          </cell>
          <cell r="E1623">
            <v>2.5427750000000002E-3</v>
          </cell>
          <cell r="F1623" t="str">
            <v>Liquid</v>
          </cell>
        </row>
        <row r="1624">
          <cell r="D1624">
            <v>3</v>
          </cell>
          <cell r="E1624">
            <v>1.132706E-2</v>
          </cell>
          <cell r="F1624" t="str">
            <v>Liquid</v>
          </cell>
        </row>
        <row r="1625">
          <cell r="D1625">
            <v>3</v>
          </cell>
          <cell r="E1625">
            <v>4.3027059999999999E-3</v>
          </cell>
          <cell r="F1625" t="str">
            <v>Liquid</v>
          </cell>
        </row>
        <row r="1626">
          <cell r="D1626">
            <v>3</v>
          </cell>
          <cell r="E1626">
            <v>2.4420500000000001E-2</v>
          </cell>
          <cell r="F1626" t="str">
            <v>Liquid</v>
          </cell>
        </row>
        <row r="1627">
          <cell r="D1627">
            <v>3</v>
          </cell>
          <cell r="E1627">
            <v>2.3181299999999998E-3</v>
          </cell>
          <cell r="F1627" t="str">
            <v>Liquid</v>
          </cell>
        </row>
        <row r="1628">
          <cell r="D1628">
            <v>3</v>
          </cell>
          <cell r="E1628">
            <v>1.2415880000000001E-2</v>
          </cell>
          <cell r="F1628" t="str">
            <v>Liquid</v>
          </cell>
        </row>
        <row r="1629">
          <cell r="D1629">
            <v>3</v>
          </cell>
          <cell r="E1629">
            <v>6.5928790000000003E-3</v>
          </cell>
          <cell r="F1629" t="str">
            <v>Liquid</v>
          </cell>
        </row>
        <row r="1630">
          <cell r="D1630">
            <v>3</v>
          </cell>
          <cell r="E1630">
            <v>2.5585339999999999E-3</v>
          </cell>
          <cell r="F1630" t="str">
            <v>Liquid</v>
          </cell>
        </row>
        <row r="1631">
          <cell r="D1631">
            <v>3</v>
          </cell>
          <cell r="E1631">
            <v>3.1482140000000002E-6</v>
          </cell>
          <cell r="F1631" t="str">
            <v>Liquid</v>
          </cell>
        </row>
        <row r="1632">
          <cell r="D1632">
            <v>3</v>
          </cell>
          <cell r="E1632">
            <v>2.1627009999999999E-3</v>
          </cell>
          <cell r="F1632" t="str">
            <v>Liquid</v>
          </cell>
        </row>
        <row r="1633">
          <cell r="D1633">
            <v>3</v>
          </cell>
          <cell r="E1633">
            <v>1.961927E-3</v>
          </cell>
          <cell r="F1633" t="str">
            <v>Liquid</v>
          </cell>
        </row>
        <row r="1634">
          <cell r="D1634">
            <v>3</v>
          </cell>
          <cell r="E1634">
            <v>7.3852800000000001E-3</v>
          </cell>
          <cell r="F1634" t="str">
            <v>Liquid</v>
          </cell>
        </row>
        <row r="1635">
          <cell r="D1635">
            <v>3</v>
          </cell>
          <cell r="E1635">
            <v>2.3789499999999999E-3</v>
          </cell>
          <cell r="F1635" t="str">
            <v>Liquid</v>
          </cell>
        </row>
        <row r="1636">
          <cell r="D1636">
            <v>3</v>
          </cell>
          <cell r="E1636">
            <v>5.2412510000000002E-2</v>
          </cell>
          <cell r="F1636" t="str">
            <v>Liquid</v>
          </cell>
        </row>
        <row r="1637">
          <cell r="D1637">
            <v>3</v>
          </cell>
          <cell r="E1637">
            <v>1.554085E-2</v>
          </cell>
          <cell r="F1637" t="str">
            <v>Liquid</v>
          </cell>
        </row>
        <row r="1638">
          <cell r="D1638">
            <v>3</v>
          </cell>
          <cell r="E1638">
            <v>3.2441200000000001E-3</v>
          </cell>
          <cell r="F1638" t="str">
            <v>Liquid</v>
          </cell>
        </row>
        <row r="1639">
          <cell r="D1639">
            <v>3</v>
          </cell>
          <cell r="E1639">
            <v>3.2474309999999998E-3</v>
          </cell>
          <cell r="F1639" t="str">
            <v>Liquid</v>
          </cell>
        </row>
        <row r="1640">
          <cell r="D1640">
            <v>3</v>
          </cell>
          <cell r="E1640">
            <v>6.4948580000000001E-3</v>
          </cell>
          <cell r="F1640" t="str">
            <v>Liquid</v>
          </cell>
        </row>
        <row r="1641">
          <cell r="D1641">
            <v>3</v>
          </cell>
          <cell r="E1641">
            <v>1.830187E-3</v>
          </cell>
          <cell r="F1641" t="str">
            <v>Liquid</v>
          </cell>
        </row>
        <row r="1642">
          <cell r="D1642">
            <v>3</v>
          </cell>
          <cell r="E1642">
            <v>2.4670880000000001E-3</v>
          </cell>
          <cell r="F1642" t="str">
            <v>Liquid</v>
          </cell>
        </row>
        <row r="1643">
          <cell r="D1643">
            <v>3</v>
          </cell>
          <cell r="E1643">
            <v>8.1519750000000005E-3</v>
          </cell>
          <cell r="F1643" t="str">
            <v>Liquid</v>
          </cell>
        </row>
        <row r="1644">
          <cell r="D1644">
            <v>3</v>
          </cell>
          <cell r="E1644">
            <v>1.047583E-2</v>
          </cell>
          <cell r="F1644" t="str">
            <v>Liquid</v>
          </cell>
        </row>
        <row r="1645">
          <cell r="D1645">
            <v>3</v>
          </cell>
          <cell r="E1645">
            <v>1.011515E-2</v>
          </cell>
          <cell r="F1645" t="str">
            <v>Liquid</v>
          </cell>
        </row>
        <row r="1646">
          <cell r="D1646">
            <v>3</v>
          </cell>
          <cell r="E1646">
            <v>3.8322830000000001E-3</v>
          </cell>
          <cell r="F1646" t="str">
            <v>Liquid</v>
          </cell>
        </row>
        <row r="1647">
          <cell r="D1647">
            <v>3</v>
          </cell>
          <cell r="E1647">
            <v>8.780061E-4</v>
          </cell>
          <cell r="F1647" t="str">
            <v>Liquid</v>
          </cell>
        </row>
        <row r="1648">
          <cell r="D1648">
            <v>3</v>
          </cell>
          <cell r="E1648">
            <v>2.4530960000000001E-3</v>
          </cell>
          <cell r="F1648" t="str">
            <v>Liquid</v>
          </cell>
        </row>
        <row r="1649">
          <cell r="D1649">
            <v>3</v>
          </cell>
          <cell r="E1649">
            <v>5.2386410000000001E-2</v>
          </cell>
          <cell r="F1649" t="str">
            <v>Liquid</v>
          </cell>
        </row>
        <row r="1650">
          <cell r="D1650">
            <v>3</v>
          </cell>
          <cell r="E1650">
            <v>1.6919819999999999E-2</v>
          </cell>
          <cell r="F1650" t="str">
            <v>Liquid</v>
          </cell>
        </row>
        <row r="1651">
          <cell r="D1651">
            <v>3</v>
          </cell>
          <cell r="E1651">
            <v>9.3037779999999997E-4</v>
          </cell>
          <cell r="F1651" t="str">
            <v>Liquid</v>
          </cell>
        </row>
        <row r="1652">
          <cell r="D1652">
            <v>3</v>
          </cell>
          <cell r="E1652">
            <v>2.3012689999999999E-3</v>
          </cell>
          <cell r="F1652" t="str">
            <v>Liquid</v>
          </cell>
        </row>
        <row r="1653">
          <cell r="D1653">
            <v>3</v>
          </cell>
          <cell r="E1653">
            <v>2.3015190000000001E-3</v>
          </cell>
          <cell r="F1653" t="str">
            <v>Liquid</v>
          </cell>
        </row>
        <row r="1654">
          <cell r="D1654">
            <v>3</v>
          </cell>
          <cell r="E1654">
            <v>2.552108E-3</v>
          </cell>
          <cell r="F1654" t="str">
            <v>Liquid</v>
          </cell>
        </row>
        <row r="1655">
          <cell r="D1655">
            <v>3</v>
          </cell>
          <cell r="E1655">
            <v>2.5521070000000001E-3</v>
          </cell>
          <cell r="F1655" t="str">
            <v>Liquid</v>
          </cell>
        </row>
        <row r="1656">
          <cell r="D1656">
            <v>3</v>
          </cell>
          <cell r="E1656">
            <v>1.7327779999999999E-3</v>
          </cell>
          <cell r="F1656" t="str">
            <v>Liquid</v>
          </cell>
        </row>
        <row r="1657">
          <cell r="D1657">
            <v>3</v>
          </cell>
          <cell r="E1657">
            <v>1.1696359999999999E-3</v>
          </cell>
          <cell r="F1657" t="str">
            <v>Liquid</v>
          </cell>
        </row>
        <row r="1658">
          <cell r="D1658">
            <v>3</v>
          </cell>
          <cell r="E1658">
            <v>3.0718420000000002E-4</v>
          </cell>
          <cell r="F1658" t="str">
            <v>Liquid</v>
          </cell>
        </row>
        <row r="1659">
          <cell r="D1659">
            <v>3</v>
          </cell>
          <cell r="E1659">
            <v>4.5831509999999997E-3</v>
          </cell>
          <cell r="F1659" t="str">
            <v>Liquid</v>
          </cell>
        </row>
        <row r="1660">
          <cell r="D1660">
            <v>3</v>
          </cell>
          <cell r="E1660">
            <v>1.9605999999999998E-3</v>
          </cell>
          <cell r="F1660" t="str">
            <v>Liquid</v>
          </cell>
        </row>
        <row r="1661">
          <cell r="D1661">
            <v>3</v>
          </cell>
          <cell r="E1661">
            <v>1.432399E-3</v>
          </cell>
          <cell r="F1661" t="str">
            <v>Liquid</v>
          </cell>
        </row>
        <row r="1662">
          <cell r="D1662">
            <v>3</v>
          </cell>
          <cell r="E1662">
            <v>9.2199159999999999E-3</v>
          </cell>
          <cell r="F1662" t="str">
            <v>Liquid</v>
          </cell>
        </row>
        <row r="1663">
          <cell r="D1663">
            <v>3</v>
          </cell>
          <cell r="E1663">
            <v>2.581471E-4</v>
          </cell>
          <cell r="F1663" t="str">
            <v>Liquid</v>
          </cell>
        </row>
        <row r="1664">
          <cell r="D1664">
            <v>3</v>
          </cell>
          <cell r="E1664">
            <v>1.042272E-2</v>
          </cell>
          <cell r="F1664" t="str">
            <v>Liquid</v>
          </cell>
        </row>
        <row r="1665">
          <cell r="D1665">
            <v>3</v>
          </cell>
          <cell r="E1665">
            <v>5.2113949999999997E-3</v>
          </cell>
          <cell r="F1665" t="str">
            <v>Liquid</v>
          </cell>
        </row>
        <row r="1666">
          <cell r="D1666">
            <v>3</v>
          </cell>
          <cell r="E1666">
            <v>5.2113039999999999E-3</v>
          </cell>
          <cell r="F1666" t="str">
            <v>Liquid</v>
          </cell>
        </row>
        <row r="1667">
          <cell r="D1667">
            <v>3</v>
          </cell>
          <cell r="E1667">
            <v>5.1231560000000002E-3</v>
          </cell>
          <cell r="F1667" t="str">
            <v>Liquid</v>
          </cell>
        </row>
        <row r="1668">
          <cell r="D1668">
            <v>3</v>
          </cell>
          <cell r="E1668">
            <v>1.2374069999999999E-2</v>
          </cell>
          <cell r="F1668" t="str">
            <v>Liquid</v>
          </cell>
        </row>
        <row r="1669">
          <cell r="D1669">
            <v>3</v>
          </cell>
          <cell r="E1669">
            <v>5.0475349999999997E-3</v>
          </cell>
          <cell r="F1669" t="str">
            <v>Liquid</v>
          </cell>
        </row>
        <row r="1670">
          <cell r="D1670">
            <v>3</v>
          </cell>
          <cell r="E1670">
            <v>2.5237340000000001E-3</v>
          </cell>
          <cell r="F1670" t="str">
            <v>Liquid</v>
          </cell>
        </row>
        <row r="1671">
          <cell r="D1671">
            <v>3</v>
          </cell>
          <cell r="E1671">
            <v>1.172834E-2</v>
          </cell>
          <cell r="F1671" t="str">
            <v>Liquid</v>
          </cell>
        </row>
        <row r="1672">
          <cell r="D1672">
            <v>3</v>
          </cell>
          <cell r="E1672">
            <v>2.6129439999999999E-3</v>
          </cell>
          <cell r="F1672" t="str">
            <v>Liquid</v>
          </cell>
        </row>
        <row r="1673">
          <cell r="D1673">
            <v>3</v>
          </cell>
          <cell r="E1673">
            <v>1.0737E-2</v>
          </cell>
          <cell r="F1673" t="str">
            <v>Liquid</v>
          </cell>
        </row>
        <row r="1674">
          <cell r="D1674">
            <v>3</v>
          </cell>
          <cell r="E1674">
            <v>4.3582040000000002E-2</v>
          </cell>
          <cell r="F1674" t="str">
            <v>Liquid</v>
          </cell>
        </row>
        <row r="1675">
          <cell r="D1675">
            <v>3</v>
          </cell>
          <cell r="E1675">
            <v>1.667045E-3</v>
          </cell>
          <cell r="F1675" t="str">
            <v>Liquid</v>
          </cell>
        </row>
        <row r="1676">
          <cell r="D1676">
            <v>3</v>
          </cell>
          <cell r="E1676">
            <v>5.6953610000000003E-3</v>
          </cell>
          <cell r="F1676" t="str">
            <v>Liquid</v>
          </cell>
        </row>
        <row r="1677">
          <cell r="D1677">
            <v>3</v>
          </cell>
          <cell r="E1677">
            <v>0.47724870000000003</v>
          </cell>
          <cell r="F1677" t="str">
            <v>Liquid</v>
          </cell>
        </row>
        <row r="1678">
          <cell r="D1678">
            <v>3</v>
          </cell>
          <cell r="E1678">
            <v>4.5155450000000001E-3</v>
          </cell>
          <cell r="F1678" t="str">
            <v>Liquid</v>
          </cell>
        </row>
        <row r="1679">
          <cell r="D1679">
            <v>3</v>
          </cell>
          <cell r="E1679">
            <v>7.5826840000000001E-3</v>
          </cell>
          <cell r="F1679" t="str">
            <v>Liquid</v>
          </cell>
        </row>
        <row r="1680">
          <cell r="D1680">
            <v>3</v>
          </cell>
          <cell r="E1680">
            <v>3.169402E-3</v>
          </cell>
          <cell r="F1680" t="str">
            <v>Liquid</v>
          </cell>
        </row>
        <row r="1681">
          <cell r="D1681">
            <v>3</v>
          </cell>
          <cell r="E1681">
            <v>7.5919690000000005E-4</v>
          </cell>
          <cell r="F1681" t="str">
            <v>Liquid</v>
          </cell>
        </row>
        <row r="1682">
          <cell r="D1682">
            <v>3</v>
          </cell>
          <cell r="E1682">
            <v>3.0081679999999999E-3</v>
          </cell>
          <cell r="F1682" t="str">
            <v>Liquid</v>
          </cell>
        </row>
        <row r="1683">
          <cell r="D1683">
            <v>3</v>
          </cell>
          <cell r="E1683">
            <v>2.5238370000000001E-3</v>
          </cell>
          <cell r="F1683" t="str">
            <v>Liquid</v>
          </cell>
        </row>
        <row r="1684">
          <cell r="D1684">
            <v>3</v>
          </cell>
          <cell r="E1684">
            <v>1.171664E-2</v>
          </cell>
          <cell r="F1684" t="str">
            <v>Liquid</v>
          </cell>
        </row>
        <row r="1685">
          <cell r="D1685">
            <v>3</v>
          </cell>
          <cell r="E1685">
            <v>1.054274E-3</v>
          </cell>
          <cell r="F1685" t="str">
            <v>Liquid</v>
          </cell>
        </row>
        <row r="1686">
          <cell r="D1686">
            <v>3</v>
          </cell>
          <cell r="E1686">
            <v>8.3024729999999995E-3</v>
          </cell>
          <cell r="F1686" t="str">
            <v>Liquid</v>
          </cell>
        </row>
        <row r="1687">
          <cell r="D1687">
            <v>3</v>
          </cell>
          <cell r="E1687">
            <v>4.3710529999999997E-2</v>
          </cell>
          <cell r="F1687" t="str">
            <v>Liquid</v>
          </cell>
        </row>
        <row r="1688">
          <cell r="D1688">
            <v>3</v>
          </cell>
          <cell r="E1688">
            <v>5.5780860000000001E-4</v>
          </cell>
          <cell r="F1688" t="str">
            <v>Liquid</v>
          </cell>
        </row>
        <row r="1689">
          <cell r="D1689">
            <v>3</v>
          </cell>
          <cell r="E1689">
            <v>5.6920770000000002E-3</v>
          </cell>
          <cell r="F1689" t="str">
            <v>Liquid</v>
          </cell>
        </row>
        <row r="1690">
          <cell r="D1690">
            <v>3</v>
          </cell>
          <cell r="E1690">
            <v>0.476524</v>
          </cell>
          <cell r="F1690" t="str">
            <v>Liquid</v>
          </cell>
        </row>
        <row r="1691">
          <cell r="D1691">
            <v>4</v>
          </cell>
          <cell r="E1691">
            <v>3.3804670000000002E-2</v>
          </cell>
          <cell r="F1691" t="str">
            <v>Liquid</v>
          </cell>
        </row>
        <row r="1692">
          <cell r="D1692">
            <v>4</v>
          </cell>
          <cell r="E1692">
            <v>6.0390109999999997E-2</v>
          </cell>
          <cell r="F1692" t="str">
            <v>Liquid</v>
          </cell>
        </row>
        <row r="1693">
          <cell r="D1693">
            <v>4</v>
          </cell>
          <cell r="E1693">
            <v>6.3876000000000002E-2</v>
          </cell>
          <cell r="F1693" t="str">
            <v>Liquid</v>
          </cell>
        </row>
        <row r="1694">
          <cell r="D1694">
            <v>4</v>
          </cell>
          <cell r="E1694">
            <v>2.213323E-2</v>
          </cell>
          <cell r="F1694" t="str">
            <v>Liquid</v>
          </cell>
        </row>
        <row r="1695">
          <cell r="D1695">
            <v>4</v>
          </cell>
          <cell r="E1695">
            <v>2.0334749999999999E-2</v>
          </cell>
          <cell r="F1695" t="str">
            <v>Liquid</v>
          </cell>
        </row>
        <row r="1696">
          <cell r="D1696">
            <v>4</v>
          </cell>
          <cell r="E1696">
            <v>0.29006530000000003</v>
          </cell>
          <cell r="F1696" t="str">
            <v>Liquid</v>
          </cell>
        </row>
        <row r="1697">
          <cell r="D1697">
            <v>4</v>
          </cell>
          <cell r="E1697">
            <v>0.16965430000000001</v>
          </cell>
          <cell r="F1697" t="str">
            <v>Liquid</v>
          </cell>
        </row>
        <row r="1698">
          <cell r="D1698">
            <v>4</v>
          </cell>
          <cell r="E1698">
            <v>0.16260759999999999</v>
          </cell>
          <cell r="F1698" t="str">
            <v>Liquid</v>
          </cell>
        </row>
        <row r="1699">
          <cell r="D1699">
            <v>4</v>
          </cell>
          <cell r="E1699">
            <v>0.18569359999999999</v>
          </cell>
          <cell r="F1699" t="str">
            <v>Liquid</v>
          </cell>
        </row>
        <row r="1700">
          <cell r="D1700">
            <v>4</v>
          </cell>
          <cell r="E1700">
            <v>0.40033849999999999</v>
          </cell>
          <cell r="F1700" t="str">
            <v>Liquid</v>
          </cell>
        </row>
        <row r="1701">
          <cell r="D1701">
            <v>4</v>
          </cell>
          <cell r="E1701">
            <v>0.18084210000000001</v>
          </cell>
          <cell r="F1701" t="str">
            <v>Liquid</v>
          </cell>
        </row>
        <row r="1702">
          <cell r="D1702">
            <v>4</v>
          </cell>
          <cell r="E1702">
            <v>0.41189229999999999</v>
          </cell>
          <cell r="F1702" t="str">
            <v>Liquid</v>
          </cell>
        </row>
        <row r="1703">
          <cell r="D1703">
            <v>4</v>
          </cell>
          <cell r="E1703">
            <v>9.6725240000000004E-2</v>
          </cell>
          <cell r="F1703" t="str">
            <v>Liquid</v>
          </cell>
        </row>
        <row r="1704">
          <cell r="D1704">
            <v>4</v>
          </cell>
          <cell r="E1704">
            <v>0.44536540000000002</v>
          </cell>
          <cell r="F1704" t="str">
            <v>Liquid</v>
          </cell>
        </row>
        <row r="1705">
          <cell r="D1705">
            <v>4</v>
          </cell>
          <cell r="E1705">
            <v>0.44536540000000002</v>
          </cell>
          <cell r="F1705" t="str">
            <v>Liquid</v>
          </cell>
        </row>
        <row r="1706">
          <cell r="D1706">
            <v>4</v>
          </cell>
          <cell r="E1706">
            <v>6.9803130000000001E-3</v>
          </cell>
          <cell r="F1706" t="str">
            <v>Liquid</v>
          </cell>
        </row>
        <row r="1707">
          <cell r="D1707">
            <v>4</v>
          </cell>
          <cell r="E1707">
            <v>6.9803130000000001E-3</v>
          </cell>
          <cell r="F1707" t="str">
            <v>Liquid</v>
          </cell>
        </row>
        <row r="1708">
          <cell r="D1708">
            <v>4</v>
          </cell>
          <cell r="E1708">
            <v>1.263896E-3</v>
          </cell>
          <cell r="F1708" t="str">
            <v>Liquid</v>
          </cell>
        </row>
        <row r="1709">
          <cell r="D1709">
            <v>4</v>
          </cell>
          <cell r="E1709">
            <v>3.482944E-3</v>
          </cell>
          <cell r="F1709" t="str">
            <v>Liquid</v>
          </cell>
        </row>
        <row r="1710">
          <cell r="D1710">
            <v>4</v>
          </cell>
          <cell r="E1710">
            <v>9.1675160000000006E-3</v>
          </cell>
          <cell r="F1710" t="str">
            <v>Liquid</v>
          </cell>
        </row>
        <row r="1711">
          <cell r="D1711">
            <v>4</v>
          </cell>
          <cell r="E1711">
            <v>9.6145390000000001E-4</v>
          </cell>
          <cell r="F1711" t="str">
            <v>Liquid</v>
          </cell>
        </row>
        <row r="1712">
          <cell r="D1712">
            <v>4</v>
          </cell>
          <cell r="E1712">
            <v>1.9402470000000002E-2</v>
          </cell>
          <cell r="F1712" t="str">
            <v>Liquid</v>
          </cell>
        </row>
        <row r="1713">
          <cell r="D1713">
            <v>4</v>
          </cell>
          <cell r="E1713">
            <v>6.0812569999999996E-3</v>
          </cell>
          <cell r="F1713" t="str">
            <v>Liquid</v>
          </cell>
        </row>
        <row r="1714">
          <cell r="D1714">
            <v>4</v>
          </cell>
          <cell r="E1714">
            <v>2.4418880000000001E-3</v>
          </cell>
          <cell r="F1714" t="str">
            <v>Liquid</v>
          </cell>
        </row>
        <row r="1715">
          <cell r="D1715">
            <v>4</v>
          </cell>
          <cell r="E1715">
            <v>2.4724650000000001E-3</v>
          </cell>
          <cell r="F1715" t="str">
            <v>Liquid</v>
          </cell>
        </row>
        <row r="1716">
          <cell r="D1716">
            <v>4</v>
          </cell>
          <cell r="E1716">
            <v>5.2923759999999999E-4</v>
          </cell>
          <cell r="F1716" t="str">
            <v>Liquid</v>
          </cell>
        </row>
        <row r="1717">
          <cell r="D1717">
            <v>4</v>
          </cell>
          <cell r="E1717">
            <v>2.242534E-3</v>
          </cell>
          <cell r="F1717" t="str">
            <v>Liquid</v>
          </cell>
        </row>
        <row r="1718">
          <cell r="D1718">
            <v>4</v>
          </cell>
          <cell r="E1718">
            <v>5.1013650000000001E-3</v>
          </cell>
          <cell r="F1718" t="str">
            <v>Liquid</v>
          </cell>
        </row>
        <row r="1719">
          <cell r="D1719">
            <v>4</v>
          </cell>
          <cell r="E1719">
            <v>3.2209629999999999E-3</v>
          </cell>
          <cell r="F1719" t="str">
            <v>Liquid</v>
          </cell>
        </row>
        <row r="1720">
          <cell r="D1720">
            <v>4</v>
          </cell>
          <cell r="E1720">
            <v>3.2209600000000001E-3</v>
          </cell>
          <cell r="F1720" t="str">
            <v>Liquid</v>
          </cell>
        </row>
        <row r="1721">
          <cell r="D1721">
            <v>4</v>
          </cell>
          <cell r="E1721">
            <v>1.394959E-2</v>
          </cell>
          <cell r="F1721" t="str">
            <v>Liquid</v>
          </cell>
        </row>
        <row r="1722">
          <cell r="D1722">
            <v>4</v>
          </cell>
          <cell r="E1722">
            <v>2.5427420000000002E-3</v>
          </cell>
          <cell r="F1722" t="str">
            <v>Liquid</v>
          </cell>
        </row>
        <row r="1723">
          <cell r="D1723">
            <v>4</v>
          </cell>
          <cell r="E1723">
            <v>4.4245409999999997E-3</v>
          </cell>
          <cell r="F1723" t="str">
            <v>Liquid</v>
          </cell>
        </row>
        <row r="1724">
          <cell r="D1724">
            <v>4</v>
          </cell>
          <cell r="E1724">
            <v>1.579006E-4</v>
          </cell>
          <cell r="F1724" t="str">
            <v>Liquid</v>
          </cell>
        </row>
        <row r="1725">
          <cell r="D1725">
            <v>4</v>
          </cell>
          <cell r="E1725">
            <v>3.7049300000000001E-4</v>
          </cell>
          <cell r="F1725" t="str">
            <v>Liquid</v>
          </cell>
        </row>
        <row r="1726">
          <cell r="D1726">
            <v>4</v>
          </cell>
          <cell r="E1726">
            <v>9.0731969999999999E-3</v>
          </cell>
          <cell r="F1726" t="str">
            <v>Liquid</v>
          </cell>
        </row>
        <row r="1727">
          <cell r="D1727">
            <v>4</v>
          </cell>
          <cell r="E1727">
            <v>1.537956E-2</v>
          </cell>
          <cell r="F1727" t="str">
            <v>Liquid</v>
          </cell>
        </row>
        <row r="1728">
          <cell r="D1728">
            <v>4</v>
          </cell>
          <cell r="E1728">
            <v>5.6202780000000003E-3</v>
          </cell>
          <cell r="F1728" t="str">
            <v>Liquid</v>
          </cell>
        </row>
        <row r="1729">
          <cell r="D1729">
            <v>4</v>
          </cell>
          <cell r="E1729">
            <v>4.9038440000000001E-3</v>
          </cell>
          <cell r="F1729" t="str">
            <v>Liquid</v>
          </cell>
        </row>
        <row r="1730">
          <cell r="D1730">
            <v>4</v>
          </cell>
          <cell r="E1730">
            <v>3.4875380000000001E-3</v>
          </cell>
          <cell r="F1730" t="str">
            <v>Liquid</v>
          </cell>
        </row>
        <row r="1731">
          <cell r="D1731">
            <v>4</v>
          </cell>
          <cell r="E1731">
            <v>3.0560770000000001E-2</v>
          </cell>
          <cell r="F1731" t="str">
            <v>Liquid</v>
          </cell>
        </row>
        <row r="1732">
          <cell r="D1732">
            <v>4</v>
          </cell>
          <cell r="E1732">
            <v>4.5399479999999999E-4</v>
          </cell>
          <cell r="F1732" t="str">
            <v>Liquid</v>
          </cell>
        </row>
        <row r="1733">
          <cell r="D1733">
            <v>4</v>
          </cell>
          <cell r="E1733">
            <v>2.561663E-3</v>
          </cell>
          <cell r="F1733" t="str">
            <v>Liquid</v>
          </cell>
        </row>
        <row r="1734">
          <cell r="D1734">
            <v>4</v>
          </cell>
          <cell r="E1734">
            <v>3.046024E-3</v>
          </cell>
          <cell r="F1734" t="str">
            <v>Liquid</v>
          </cell>
        </row>
        <row r="1735">
          <cell r="D1735">
            <v>4</v>
          </cell>
          <cell r="E1735">
            <v>2.907065E-2</v>
          </cell>
          <cell r="F1735" t="str">
            <v>Liquid</v>
          </cell>
        </row>
        <row r="1736">
          <cell r="D1736">
            <v>4</v>
          </cell>
          <cell r="E1736">
            <v>8.296108E-3</v>
          </cell>
          <cell r="F1736" t="str">
            <v>Liquid</v>
          </cell>
        </row>
        <row r="1737">
          <cell r="D1737">
            <v>4</v>
          </cell>
          <cell r="E1737">
            <v>2.495845E-3</v>
          </cell>
          <cell r="F1737" t="str">
            <v>Liquid</v>
          </cell>
        </row>
        <row r="1738">
          <cell r="D1738">
            <v>4</v>
          </cell>
          <cell r="E1738">
            <v>4.8701199999999999E-4</v>
          </cell>
          <cell r="F1738" t="str">
            <v>Liquid</v>
          </cell>
        </row>
        <row r="1739">
          <cell r="D1739">
            <v>4</v>
          </cell>
          <cell r="E1739">
            <v>1.8990470000000001E-4</v>
          </cell>
          <cell r="F1739" t="str">
            <v>Liquid</v>
          </cell>
        </row>
        <row r="1740">
          <cell r="D1740">
            <v>4</v>
          </cell>
          <cell r="E1740">
            <v>2.862159E-3</v>
          </cell>
          <cell r="F1740" t="str">
            <v>Liquid</v>
          </cell>
        </row>
        <row r="1741">
          <cell r="D1741">
            <v>4</v>
          </cell>
          <cell r="E1741">
            <v>9.7435590000000006E-3</v>
          </cell>
          <cell r="F1741" t="str">
            <v>Liquid</v>
          </cell>
        </row>
        <row r="1742">
          <cell r="D1742">
            <v>4</v>
          </cell>
          <cell r="E1742">
            <v>9.7422659999999994E-3</v>
          </cell>
          <cell r="F1742" t="str">
            <v>Liquid</v>
          </cell>
        </row>
        <row r="1743">
          <cell r="D1743">
            <v>4</v>
          </cell>
          <cell r="E1743">
            <v>1.2993660000000001E-2</v>
          </cell>
          <cell r="F1743" t="str">
            <v>Liquid</v>
          </cell>
        </row>
        <row r="1744">
          <cell r="D1744">
            <v>4</v>
          </cell>
          <cell r="E1744">
            <v>1.8038189999999999E-3</v>
          </cell>
          <cell r="F1744" t="str">
            <v>Liquid</v>
          </cell>
        </row>
        <row r="1745">
          <cell r="D1745">
            <v>4</v>
          </cell>
          <cell r="E1745">
            <v>9.544192E-2</v>
          </cell>
          <cell r="F1745" t="str">
            <v>Liquid</v>
          </cell>
        </row>
        <row r="1746">
          <cell r="D1746">
            <v>4</v>
          </cell>
          <cell r="E1746">
            <v>5.6467189999999997E-3</v>
          </cell>
          <cell r="F1746" t="str">
            <v>Liquid</v>
          </cell>
        </row>
        <row r="1747">
          <cell r="D1747">
            <v>4</v>
          </cell>
          <cell r="E1747">
            <v>2.6205170000000002E-3</v>
          </cell>
          <cell r="F1747" t="str">
            <v>Liquid</v>
          </cell>
        </row>
        <row r="1748">
          <cell r="D1748">
            <v>4</v>
          </cell>
          <cell r="E1748">
            <v>8.4457520000000008E-3</v>
          </cell>
          <cell r="F1748" t="str">
            <v>Liquid</v>
          </cell>
        </row>
        <row r="1749">
          <cell r="D1749">
            <v>4</v>
          </cell>
          <cell r="E1749">
            <v>2.2690269999999998E-3</v>
          </cell>
          <cell r="F1749" t="str">
            <v>Liquid</v>
          </cell>
        </row>
        <row r="1750">
          <cell r="D1750">
            <v>4</v>
          </cell>
          <cell r="E1750">
            <v>4.126062E-4</v>
          </cell>
          <cell r="F1750" t="str">
            <v>Liquid</v>
          </cell>
        </row>
        <row r="1751">
          <cell r="D1751">
            <v>4</v>
          </cell>
          <cell r="E1751">
            <v>5.9178799999999999E-4</v>
          </cell>
          <cell r="F1751" t="str">
            <v>Liquid</v>
          </cell>
        </row>
        <row r="1752">
          <cell r="D1752">
            <v>4</v>
          </cell>
          <cell r="E1752">
            <v>3.3276899999999999E-3</v>
          </cell>
          <cell r="F1752" t="str">
            <v>Liquid</v>
          </cell>
        </row>
        <row r="1753">
          <cell r="D1753">
            <v>4</v>
          </cell>
          <cell r="E1753">
            <v>2.945513E-2</v>
          </cell>
          <cell r="F1753" t="str">
            <v>Liquid</v>
          </cell>
        </row>
        <row r="1754">
          <cell r="D1754">
            <v>4</v>
          </cell>
          <cell r="E1754">
            <v>1.3092539999999999E-3</v>
          </cell>
          <cell r="F1754" t="str">
            <v>Liquid</v>
          </cell>
        </row>
        <row r="1755">
          <cell r="D1755">
            <v>4</v>
          </cell>
          <cell r="E1755">
            <v>8.3933990000000002E-4</v>
          </cell>
          <cell r="F1755" t="str">
            <v>Liquid</v>
          </cell>
        </row>
        <row r="1756">
          <cell r="D1756">
            <v>4</v>
          </cell>
          <cell r="E1756">
            <v>2.30671E-3</v>
          </cell>
          <cell r="F1756" t="str">
            <v>Liquid</v>
          </cell>
        </row>
        <row r="1757">
          <cell r="D1757">
            <v>4</v>
          </cell>
          <cell r="E1757">
            <v>1.179587E-2</v>
          </cell>
          <cell r="F1757" t="str">
            <v>Liquid</v>
          </cell>
        </row>
        <row r="1758">
          <cell r="D1758">
            <v>4</v>
          </cell>
          <cell r="E1758">
            <v>0.28724339999999998</v>
          </cell>
          <cell r="F1758" t="str">
            <v>Liquid</v>
          </cell>
        </row>
        <row r="1759">
          <cell r="D1759">
            <v>4</v>
          </cell>
          <cell r="E1759">
            <v>2.4529980000000001E-3</v>
          </cell>
          <cell r="F1759" t="str">
            <v>Liquid</v>
          </cell>
        </row>
        <row r="1760">
          <cell r="D1760">
            <v>4</v>
          </cell>
          <cell r="E1760">
            <v>1.5536339999999999E-3</v>
          </cell>
          <cell r="F1760" t="str">
            <v>Liquid</v>
          </cell>
        </row>
        <row r="1761">
          <cell r="D1761">
            <v>4</v>
          </cell>
          <cell r="E1761">
            <v>1.457036E-4</v>
          </cell>
          <cell r="F1761" t="str">
            <v>Liquid</v>
          </cell>
        </row>
        <row r="1762">
          <cell r="D1762">
            <v>4</v>
          </cell>
          <cell r="E1762">
            <v>1.513094E-3</v>
          </cell>
          <cell r="F1762" t="str">
            <v>Liquid</v>
          </cell>
        </row>
        <row r="1763">
          <cell r="D1763">
            <v>4</v>
          </cell>
          <cell r="E1763">
            <v>2.880325E-3</v>
          </cell>
          <cell r="F1763" t="str">
            <v>Liquid</v>
          </cell>
        </row>
        <row r="1764">
          <cell r="D1764">
            <v>4</v>
          </cell>
          <cell r="E1764">
            <v>1.18627E-4</v>
          </cell>
          <cell r="F1764" t="str">
            <v>Liquid</v>
          </cell>
        </row>
        <row r="1765">
          <cell r="D1765">
            <v>4</v>
          </cell>
          <cell r="E1765">
            <v>1.049654E-4</v>
          </cell>
          <cell r="F1765" t="str">
            <v>Liquid</v>
          </cell>
        </row>
        <row r="1766">
          <cell r="D1766">
            <v>4</v>
          </cell>
          <cell r="E1766">
            <v>8.2515269999999998E-3</v>
          </cell>
          <cell r="F1766" t="str">
            <v>Liquid</v>
          </cell>
        </row>
        <row r="1767">
          <cell r="D1767">
            <v>4</v>
          </cell>
          <cell r="E1767">
            <v>8.2759680000000005E-5</v>
          </cell>
          <cell r="F1767" t="str">
            <v>Liquid</v>
          </cell>
        </row>
        <row r="1768">
          <cell r="D1768">
            <v>4</v>
          </cell>
          <cell r="E1768">
            <v>4.8325759999999999E-3</v>
          </cell>
          <cell r="F1768" t="str">
            <v>Liquid</v>
          </cell>
        </row>
        <row r="1769">
          <cell r="D1769">
            <v>4</v>
          </cell>
          <cell r="E1769">
            <v>8.6134709999999993E-3</v>
          </cell>
          <cell r="F1769" t="str">
            <v>Liquid</v>
          </cell>
        </row>
        <row r="1770">
          <cell r="D1770">
            <v>4</v>
          </cell>
          <cell r="E1770">
            <v>2.8322839999999998E-4</v>
          </cell>
          <cell r="F1770" t="str">
            <v>Liquid</v>
          </cell>
        </row>
        <row r="1771">
          <cell r="D1771">
            <v>4</v>
          </cell>
          <cell r="E1771">
            <v>1.9740820000000001E-4</v>
          </cell>
          <cell r="F1771" t="str">
            <v>Liquid</v>
          </cell>
        </row>
        <row r="1772">
          <cell r="D1772">
            <v>4</v>
          </cell>
          <cell r="E1772">
            <v>1.500967E-3</v>
          </cell>
          <cell r="F1772" t="str">
            <v>Liquid</v>
          </cell>
        </row>
        <row r="1773">
          <cell r="D1773">
            <v>4</v>
          </cell>
          <cell r="E1773">
            <v>3.3726820000000001E-4</v>
          </cell>
          <cell r="F1773" t="str">
            <v>Liquid</v>
          </cell>
        </row>
        <row r="1774">
          <cell r="D1774">
            <v>4</v>
          </cell>
          <cell r="E1774">
            <v>2.301207E-3</v>
          </cell>
          <cell r="F1774" t="str">
            <v>Liquid</v>
          </cell>
        </row>
        <row r="1775">
          <cell r="D1775">
            <v>4</v>
          </cell>
          <cell r="E1775">
            <v>2.3013170000000002E-3</v>
          </cell>
          <cell r="F1775" t="str">
            <v>Liquid</v>
          </cell>
        </row>
        <row r="1776">
          <cell r="D1776">
            <v>4</v>
          </cell>
          <cell r="E1776">
            <v>1.9200249999999999E-3</v>
          </cell>
          <cell r="F1776" t="str">
            <v>Liquid</v>
          </cell>
        </row>
        <row r="1777">
          <cell r="D1777">
            <v>4</v>
          </cell>
          <cell r="E1777">
            <v>2.5520439999999998E-3</v>
          </cell>
          <cell r="F1777" t="str">
            <v>Liquid</v>
          </cell>
        </row>
        <row r="1778">
          <cell r="D1778">
            <v>4</v>
          </cell>
          <cell r="E1778">
            <v>2.552042E-3</v>
          </cell>
          <cell r="F1778" t="str">
            <v>Liquid</v>
          </cell>
        </row>
        <row r="1779">
          <cell r="D1779">
            <v>4</v>
          </cell>
          <cell r="E1779">
            <v>2.5520579999999998E-3</v>
          </cell>
          <cell r="F1779" t="str">
            <v>Liquid</v>
          </cell>
        </row>
        <row r="1780">
          <cell r="D1780">
            <v>4</v>
          </cell>
          <cell r="E1780">
            <v>8.1962630000000005E-4</v>
          </cell>
          <cell r="F1780" t="str">
            <v>Liquid</v>
          </cell>
        </row>
        <row r="1781">
          <cell r="D1781">
            <v>4</v>
          </cell>
          <cell r="E1781">
            <v>2.4452079999999999E-3</v>
          </cell>
          <cell r="F1781" t="str">
            <v>Liquid</v>
          </cell>
        </row>
        <row r="1782">
          <cell r="D1782">
            <v>4</v>
          </cell>
          <cell r="E1782">
            <v>1.176613E-3</v>
          </cell>
          <cell r="F1782" t="str">
            <v>Liquid</v>
          </cell>
        </row>
        <row r="1783">
          <cell r="D1783">
            <v>4</v>
          </cell>
          <cell r="E1783">
            <v>2.5177849999999998E-3</v>
          </cell>
          <cell r="F1783" t="str">
            <v>Liquid</v>
          </cell>
        </row>
        <row r="1784">
          <cell r="D1784">
            <v>4</v>
          </cell>
          <cell r="E1784">
            <v>7.3958549999999998E-3</v>
          </cell>
          <cell r="F1784" t="str">
            <v>Liquid</v>
          </cell>
        </row>
        <row r="1785">
          <cell r="D1785">
            <v>4</v>
          </cell>
          <cell r="E1785">
            <v>2.4733049999999999E-3</v>
          </cell>
          <cell r="F1785" t="str">
            <v>Liquid</v>
          </cell>
        </row>
        <row r="1786">
          <cell r="D1786">
            <v>4</v>
          </cell>
          <cell r="E1786">
            <v>2.6844429999999999E-3</v>
          </cell>
          <cell r="F1786" t="str">
            <v>Liquid</v>
          </cell>
        </row>
        <row r="1787">
          <cell r="D1787">
            <v>4</v>
          </cell>
          <cell r="E1787">
            <v>2.4552879999999999E-3</v>
          </cell>
          <cell r="F1787" t="str">
            <v>Liquid</v>
          </cell>
        </row>
        <row r="1788">
          <cell r="D1788">
            <v>4</v>
          </cell>
          <cell r="E1788">
            <v>6.1195429999999999E-3</v>
          </cell>
          <cell r="F1788" t="str">
            <v>Liquid</v>
          </cell>
        </row>
        <row r="1789">
          <cell r="D1789">
            <v>4</v>
          </cell>
          <cell r="E1789">
            <v>7.4551740000000002E-3</v>
          </cell>
          <cell r="F1789" t="str">
            <v>Liquid</v>
          </cell>
        </row>
        <row r="1790">
          <cell r="D1790">
            <v>4</v>
          </cell>
          <cell r="E1790">
            <v>1.856091E-3</v>
          </cell>
          <cell r="F1790" t="str">
            <v>Liquid</v>
          </cell>
        </row>
        <row r="1791">
          <cell r="D1791">
            <v>4</v>
          </cell>
          <cell r="E1791">
            <v>2.523792E-3</v>
          </cell>
          <cell r="F1791" t="str">
            <v>Liquid</v>
          </cell>
        </row>
        <row r="1792">
          <cell r="D1792">
            <v>4</v>
          </cell>
          <cell r="E1792">
            <v>6.964397E-4</v>
          </cell>
          <cell r="F1792" t="str">
            <v>Liquid</v>
          </cell>
        </row>
        <row r="1793">
          <cell r="D1793">
            <v>4</v>
          </cell>
          <cell r="E1793">
            <v>2.1664309999999999E-3</v>
          </cell>
          <cell r="F1793" t="str">
            <v>Liquid</v>
          </cell>
        </row>
        <row r="1794">
          <cell r="D1794">
            <v>4</v>
          </cell>
          <cell r="E1794">
            <v>3.3317160000000002E-3</v>
          </cell>
          <cell r="F1794" t="str">
            <v>Liquid</v>
          </cell>
        </row>
        <row r="1795">
          <cell r="D1795">
            <v>4</v>
          </cell>
          <cell r="E1795">
            <v>3.5268249999999999E-3</v>
          </cell>
          <cell r="F1795" t="str">
            <v>Liquid</v>
          </cell>
        </row>
        <row r="1796">
          <cell r="D1796">
            <v>4</v>
          </cell>
          <cell r="E1796">
            <v>9.4489399999999994E-3</v>
          </cell>
          <cell r="F1796" t="str">
            <v>Liquid</v>
          </cell>
        </row>
        <row r="1797">
          <cell r="D1797">
            <v>4</v>
          </cell>
          <cell r="E1797">
            <v>6.6356999999999999E-2</v>
          </cell>
          <cell r="F1797" t="str">
            <v>Liquid</v>
          </cell>
        </row>
        <row r="1798">
          <cell r="D1798">
            <v>4</v>
          </cell>
          <cell r="E1798">
            <v>6.1006159999999997E-3</v>
          </cell>
          <cell r="F1798" t="str">
            <v>Liquid</v>
          </cell>
        </row>
        <row r="1799">
          <cell r="D1799">
            <v>4</v>
          </cell>
          <cell r="E1799">
            <v>1.6505720000000001E-3</v>
          </cell>
          <cell r="F1799" t="str">
            <v>Liquid</v>
          </cell>
        </row>
        <row r="1800">
          <cell r="D1800">
            <v>4</v>
          </cell>
          <cell r="E1800">
            <v>2.4369610000000001E-3</v>
          </cell>
          <cell r="F1800" t="str">
            <v>Liquid</v>
          </cell>
        </row>
        <row r="1801">
          <cell r="D1801">
            <v>4</v>
          </cell>
          <cell r="E1801">
            <v>2.7741060000000001E-3</v>
          </cell>
          <cell r="F1801" t="str">
            <v>Liquid</v>
          </cell>
        </row>
        <row r="1802">
          <cell r="D1802">
            <v>4</v>
          </cell>
          <cell r="E1802">
            <v>2.6016339999999998E-3</v>
          </cell>
          <cell r="F1802" t="str">
            <v>Liquid</v>
          </cell>
        </row>
        <row r="1803">
          <cell r="D1803">
            <v>4</v>
          </cell>
          <cell r="E1803">
            <v>2.823613E-3</v>
          </cell>
          <cell r="F1803" t="str">
            <v>Liquid</v>
          </cell>
        </row>
        <row r="1804">
          <cell r="D1804">
            <v>4</v>
          </cell>
          <cell r="E1804">
            <v>4.9957329999999996E-3</v>
          </cell>
          <cell r="F1804" t="str">
            <v>Liquid</v>
          </cell>
        </row>
        <row r="1805">
          <cell r="D1805">
            <v>4</v>
          </cell>
          <cell r="E1805">
            <v>1.0597479999999999E-2</v>
          </cell>
          <cell r="F1805" t="str">
            <v>Liquid</v>
          </cell>
        </row>
        <row r="1806">
          <cell r="D1806">
            <v>4</v>
          </cell>
          <cell r="E1806">
            <v>2.523895E-3</v>
          </cell>
          <cell r="F1806" t="str">
            <v>Liquid</v>
          </cell>
        </row>
        <row r="1807">
          <cell r="D1807">
            <v>4</v>
          </cell>
          <cell r="E1807">
            <v>2.0551219999999999E-3</v>
          </cell>
          <cell r="F1807" t="str">
            <v>Liquid</v>
          </cell>
        </row>
        <row r="1808">
          <cell r="D1808">
            <v>4</v>
          </cell>
          <cell r="E1808">
            <v>5.0829500000000001E-3</v>
          </cell>
          <cell r="F1808" t="str">
            <v>Liquid</v>
          </cell>
        </row>
        <row r="1809">
          <cell r="D1809">
            <v>4</v>
          </cell>
          <cell r="E1809">
            <v>1.1006159999999999E-2</v>
          </cell>
          <cell r="F1809" t="str">
            <v>Liquid</v>
          </cell>
        </row>
        <row r="1810">
          <cell r="D1810">
            <v>4</v>
          </cell>
          <cell r="E1810">
            <v>6.3425270000000006E-2</v>
          </cell>
          <cell r="F1810" t="str">
            <v>Liquid</v>
          </cell>
        </row>
        <row r="1811">
          <cell r="D1811">
            <v>4</v>
          </cell>
          <cell r="E1811">
            <v>7.548206E-3</v>
          </cell>
          <cell r="F1811" t="str">
            <v>Liquid</v>
          </cell>
        </row>
        <row r="1812">
          <cell r="D1812">
            <v>4</v>
          </cell>
          <cell r="E1812">
            <v>6.4049780000000002E-4</v>
          </cell>
          <cell r="F1812" t="str">
            <v>Liquid</v>
          </cell>
        </row>
        <row r="1813">
          <cell r="D1813">
            <v>4</v>
          </cell>
          <cell r="E1813">
            <v>1.9878579999999999E-3</v>
          </cell>
          <cell r="F1813" t="str">
            <v>Liquid</v>
          </cell>
        </row>
        <row r="1814">
          <cell r="D1814">
            <v>4</v>
          </cell>
          <cell r="E1814">
            <v>2.752974E-3</v>
          </cell>
          <cell r="F1814" t="str">
            <v>Liquid</v>
          </cell>
        </row>
        <row r="1815">
          <cell r="D1815">
            <v>5</v>
          </cell>
          <cell r="E1815">
            <v>1.7305290000000001E-2</v>
          </cell>
          <cell r="F1815" t="str">
            <v>Liquid</v>
          </cell>
        </row>
        <row r="1816">
          <cell r="D1816">
            <v>5</v>
          </cell>
          <cell r="E1816">
            <v>3.1084839999999999E-2</v>
          </cell>
          <cell r="F1816" t="str">
            <v>Liquid</v>
          </cell>
        </row>
        <row r="1817">
          <cell r="D1817">
            <v>5</v>
          </cell>
          <cell r="E1817">
            <v>5.0573470000000002E-3</v>
          </cell>
          <cell r="F1817" t="str">
            <v>Liquid</v>
          </cell>
        </row>
        <row r="1818">
          <cell r="D1818">
            <v>5</v>
          </cell>
          <cell r="E1818">
            <v>3.108489E-2</v>
          </cell>
          <cell r="F1818" t="str">
            <v>Liquid</v>
          </cell>
        </row>
        <row r="1819">
          <cell r="D1819">
            <v>5</v>
          </cell>
          <cell r="E1819">
            <v>5.04705E-3</v>
          </cell>
          <cell r="F1819" t="str">
            <v>Liquid</v>
          </cell>
        </row>
        <row r="1820">
          <cell r="D1820">
            <v>5</v>
          </cell>
          <cell r="E1820">
            <v>0.16730039999999999</v>
          </cell>
          <cell r="F1820" t="str">
            <v>Liquid</v>
          </cell>
        </row>
        <row r="1821">
          <cell r="D1821">
            <v>5</v>
          </cell>
          <cell r="E1821">
            <v>2.217686E-2</v>
          </cell>
          <cell r="F1821" t="str">
            <v>Liquid</v>
          </cell>
        </row>
        <row r="1822">
          <cell r="D1822">
            <v>5</v>
          </cell>
          <cell r="E1822">
            <v>2.3997109999999999E-2</v>
          </cell>
          <cell r="F1822" t="str">
            <v>Liquid</v>
          </cell>
        </row>
        <row r="1823">
          <cell r="D1823">
            <v>5</v>
          </cell>
          <cell r="E1823">
            <v>2.8963090000000001E-3</v>
          </cell>
          <cell r="F1823" t="str">
            <v>Liquid</v>
          </cell>
        </row>
        <row r="1824">
          <cell r="D1824">
            <v>5</v>
          </cell>
          <cell r="E1824">
            <v>1.17085E-2</v>
          </cell>
          <cell r="F1824" t="str">
            <v>Liquid</v>
          </cell>
        </row>
        <row r="1825">
          <cell r="D1825">
            <v>5</v>
          </cell>
          <cell r="E1825">
            <v>2.7965690000000001E-3</v>
          </cell>
          <cell r="F1825" t="str">
            <v>Liquid</v>
          </cell>
        </row>
        <row r="1826">
          <cell r="D1826">
            <v>5</v>
          </cell>
          <cell r="E1826">
            <v>0.36988110000000002</v>
          </cell>
          <cell r="F1826" t="str">
            <v>Liquid</v>
          </cell>
        </row>
        <row r="1827">
          <cell r="D1827">
            <v>5</v>
          </cell>
          <cell r="E1827">
            <v>2.7746899999999998E-3</v>
          </cell>
          <cell r="F1827" t="str">
            <v>Liquid</v>
          </cell>
        </row>
        <row r="1828">
          <cell r="D1828">
            <v>5</v>
          </cell>
          <cell r="E1828">
            <v>6.3365319999999998E-3</v>
          </cell>
          <cell r="F1828" t="str">
            <v>Liquid</v>
          </cell>
        </row>
        <row r="1829">
          <cell r="D1829">
            <v>5</v>
          </cell>
          <cell r="E1829">
            <v>1.5350239999999999E-2</v>
          </cell>
          <cell r="F1829" t="str">
            <v>Liquid</v>
          </cell>
        </row>
        <row r="1830">
          <cell r="D1830">
            <v>5</v>
          </cell>
          <cell r="E1830">
            <v>2.2218100000000001E-2</v>
          </cell>
          <cell r="F1830" t="str">
            <v>Liquid</v>
          </cell>
        </row>
        <row r="1831">
          <cell r="D1831">
            <v>5</v>
          </cell>
          <cell r="E1831">
            <v>8.9146370000000003E-2</v>
          </cell>
          <cell r="F1831" t="str">
            <v>Liquid</v>
          </cell>
        </row>
        <row r="1832">
          <cell r="D1832">
            <v>5</v>
          </cell>
          <cell r="E1832">
            <v>5.5763139999999998E-3</v>
          </cell>
          <cell r="F1832" t="str">
            <v>Liquid</v>
          </cell>
        </row>
        <row r="1833">
          <cell r="D1833">
            <v>5</v>
          </cell>
          <cell r="E1833">
            <v>1.7109059999999999E-2</v>
          </cell>
          <cell r="F1833" t="str">
            <v>Liquid</v>
          </cell>
        </row>
        <row r="1834">
          <cell r="D1834">
            <v>5</v>
          </cell>
          <cell r="E1834">
            <v>0.115012</v>
          </cell>
          <cell r="F1834" t="str">
            <v>Liquid</v>
          </cell>
        </row>
        <row r="1835">
          <cell r="D1835">
            <v>5</v>
          </cell>
          <cell r="E1835">
            <v>2.4540970000000001E-3</v>
          </cell>
          <cell r="F1835" t="str">
            <v>Liquid</v>
          </cell>
        </row>
        <row r="1836">
          <cell r="D1836">
            <v>5</v>
          </cell>
          <cell r="E1836">
            <v>4.9082429999999996E-3</v>
          </cell>
          <cell r="F1836" t="str">
            <v>Liquid</v>
          </cell>
        </row>
        <row r="1837">
          <cell r="D1837">
            <v>5</v>
          </cell>
          <cell r="E1837">
            <v>1.2270629999999999E-2</v>
          </cell>
          <cell r="F1837" t="str">
            <v>Liquid</v>
          </cell>
        </row>
        <row r="1838">
          <cell r="D1838">
            <v>5</v>
          </cell>
          <cell r="E1838">
            <v>2.4541459999999999E-3</v>
          </cell>
          <cell r="F1838" t="str">
            <v>Liquid</v>
          </cell>
        </row>
        <row r="1839">
          <cell r="D1839">
            <v>5</v>
          </cell>
          <cell r="E1839">
            <v>7.3623890000000004E-3</v>
          </cell>
          <cell r="F1839" t="str">
            <v>Liquid</v>
          </cell>
        </row>
        <row r="1840">
          <cell r="D1840">
            <v>5</v>
          </cell>
          <cell r="E1840">
            <v>1.9633020000000001E-2</v>
          </cell>
          <cell r="F1840" t="str">
            <v>Liquid</v>
          </cell>
        </row>
        <row r="1841">
          <cell r="D1841">
            <v>5</v>
          </cell>
          <cell r="E1841">
            <v>0.1797656</v>
          </cell>
          <cell r="F1841" t="str">
            <v>Liquid</v>
          </cell>
        </row>
        <row r="1842">
          <cell r="D1842">
            <v>5</v>
          </cell>
          <cell r="E1842">
            <v>2.486733E-2</v>
          </cell>
          <cell r="F1842" t="str">
            <v>Liquid</v>
          </cell>
        </row>
        <row r="1843">
          <cell r="D1843">
            <v>5</v>
          </cell>
          <cell r="E1843">
            <v>6.1602390000000003E-4</v>
          </cell>
          <cell r="F1843" t="str">
            <v>Liquid</v>
          </cell>
        </row>
        <row r="1844">
          <cell r="D1844">
            <v>5</v>
          </cell>
          <cell r="E1844">
            <v>5.2530760000000002E-4</v>
          </cell>
          <cell r="F1844" t="str">
            <v>Liquid</v>
          </cell>
        </row>
        <row r="1845">
          <cell r="D1845">
            <v>5</v>
          </cell>
          <cell r="E1845">
            <v>1.2359669999999999E-3</v>
          </cell>
          <cell r="F1845" t="str">
            <v>Liquid</v>
          </cell>
        </row>
        <row r="1846">
          <cell r="D1846">
            <v>5</v>
          </cell>
          <cell r="E1846">
            <v>5.201041E-4</v>
          </cell>
          <cell r="F1846" t="str">
            <v>Liquid</v>
          </cell>
        </row>
        <row r="1847">
          <cell r="D1847">
            <v>5</v>
          </cell>
          <cell r="E1847">
            <v>5.1453369999999998E-4</v>
          </cell>
          <cell r="F1847" t="str">
            <v>Liquid</v>
          </cell>
        </row>
        <row r="1848">
          <cell r="D1848">
            <v>5</v>
          </cell>
          <cell r="E1848">
            <v>1.9410230000000001E-3</v>
          </cell>
          <cell r="F1848" t="str">
            <v>Liquid</v>
          </cell>
        </row>
        <row r="1849">
          <cell r="D1849">
            <v>5</v>
          </cell>
          <cell r="E1849">
            <v>3.418183E-3</v>
          </cell>
          <cell r="F1849" t="str">
            <v>Liquid</v>
          </cell>
        </row>
        <row r="1850">
          <cell r="D1850">
            <v>5</v>
          </cell>
          <cell r="E1850">
            <v>0.10663010000000001</v>
          </cell>
          <cell r="F1850" t="str">
            <v>Liquid</v>
          </cell>
        </row>
        <row r="1851">
          <cell r="D1851">
            <v>5</v>
          </cell>
          <cell r="E1851">
            <v>4.0939969999999998E-4</v>
          </cell>
          <cell r="F1851" t="str">
            <v>Liquid</v>
          </cell>
        </row>
        <row r="1852">
          <cell r="D1852">
            <v>5</v>
          </cell>
          <cell r="E1852">
            <v>4.3658929999999999E-2</v>
          </cell>
          <cell r="F1852" t="str">
            <v>Liquid</v>
          </cell>
        </row>
        <row r="1853">
          <cell r="D1853">
            <v>5</v>
          </cell>
          <cell r="E1853">
            <v>1.373569E-2</v>
          </cell>
          <cell r="F1853" t="str">
            <v>Liquid</v>
          </cell>
        </row>
        <row r="1854">
          <cell r="D1854">
            <v>5</v>
          </cell>
          <cell r="E1854">
            <v>1.5562339999999999E-2</v>
          </cell>
          <cell r="F1854" t="str">
            <v>Liquid</v>
          </cell>
        </row>
        <row r="1855">
          <cell r="D1855">
            <v>5</v>
          </cell>
          <cell r="E1855">
            <v>3.2139270000000001E-3</v>
          </cell>
          <cell r="F1855" t="str">
            <v>Liquid</v>
          </cell>
        </row>
        <row r="1856">
          <cell r="D1856">
            <v>5</v>
          </cell>
          <cell r="E1856">
            <v>3.3700819999999999E-3</v>
          </cell>
          <cell r="F1856" t="str">
            <v>Liquid</v>
          </cell>
        </row>
        <row r="1857">
          <cell r="D1857">
            <v>5</v>
          </cell>
          <cell r="E1857">
            <v>3.5943540000000001E-3</v>
          </cell>
          <cell r="F1857" t="str">
            <v>Liquid</v>
          </cell>
        </row>
        <row r="1858">
          <cell r="D1858">
            <v>5</v>
          </cell>
          <cell r="E1858">
            <v>2.1340759999999999E-3</v>
          </cell>
          <cell r="F1858" t="str">
            <v>Liquid</v>
          </cell>
        </row>
        <row r="1859">
          <cell r="D1859">
            <v>5</v>
          </cell>
          <cell r="E1859">
            <v>3.0742819999999998E-3</v>
          </cell>
          <cell r="F1859" t="str">
            <v>Liquid</v>
          </cell>
        </row>
        <row r="1860">
          <cell r="D1860">
            <v>5</v>
          </cell>
          <cell r="E1860">
            <v>3.4638799999999999E-3</v>
          </cell>
          <cell r="F1860" t="str">
            <v>Liquid</v>
          </cell>
        </row>
        <row r="1861">
          <cell r="D1861">
            <v>5</v>
          </cell>
          <cell r="E1861">
            <v>1.674146E-2</v>
          </cell>
          <cell r="F1861" t="str">
            <v>Liquid</v>
          </cell>
        </row>
        <row r="1862">
          <cell r="D1862">
            <v>5</v>
          </cell>
          <cell r="E1862">
            <v>4.2126439999999998E-3</v>
          </cell>
          <cell r="F1862" t="str">
            <v>Liquid</v>
          </cell>
        </row>
        <row r="1863">
          <cell r="D1863">
            <v>5</v>
          </cell>
          <cell r="E1863">
            <v>2.4867340000000002E-2</v>
          </cell>
          <cell r="F1863" t="str">
            <v>Liquid</v>
          </cell>
        </row>
        <row r="1864">
          <cell r="D1864">
            <v>5</v>
          </cell>
          <cell r="E1864">
            <v>0.10559540000000001</v>
          </cell>
          <cell r="F1864" t="str">
            <v>Liquid</v>
          </cell>
        </row>
        <row r="1865">
          <cell r="D1865">
            <v>5</v>
          </cell>
          <cell r="E1865">
            <v>3.6194539999999998E-3</v>
          </cell>
          <cell r="F1865" t="str">
            <v>Liquid</v>
          </cell>
        </row>
        <row r="1866">
          <cell r="D1866">
            <v>5</v>
          </cell>
          <cell r="E1866">
            <v>1.974081E-4</v>
          </cell>
          <cell r="F1866" t="str">
            <v>Liquid</v>
          </cell>
        </row>
        <row r="1867">
          <cell r="D1867">
            <v>5</v>
          </cell>
          <cell r="E1867">
            <v>2.540662E-3</v>
          </cell>
          <cell r="F1867" t="str">
            <v>Liquid</v>
          </cell>
        </row>
        <row r="1868">
          <cell r="D1868">
            <v>5</v>
          </cell>
          <cell r="E1868">
            <v>2.6749330000000002E-2</v>
          </cell>
          <cell r="F1868" t="str">
            <v>Liquid</v>
          </cell>
        </row>
        <row r="1869">
          <cell r="D1869">
            <v>5</v>
          </cell>
          <cell r="E1869">
            <v>8.3818950000000003E-3</v>
          </cell>
          <cell r="F1869" t="str">
            <v>Liquid</v>
          </cell>
        </row>
        <row r="1870">
          <cell r="D1870">
            <v>5</v>
          </cell>
          <cell r="E1870">
            <v>1.535627E-2</v>
          </cell>
          <cell r="F1870" t="str">
            <v>Liquid</v>
          </cell>
        </row>
        <row r="1871">
          <cell r="D1871">
            <v>5</v>
          </cell>
          <cell r="E1871">
            <v>3.2323679999999998E-3</v>
          </cell>
          <cell r="F1871" t="str">
            <v>Liquid</v>
          </cell>
        </row>
        <row r="1872">
          <cell r="D1872">
            <v>5</v>
          </cell>
          <cell r="E1872">
            <v>3.2323669999999999E-3</v>
          </cell>
          <cell r="F1872" t="str">
            <v>Liquid</v>
          </cell>
        </row>
        <row r="1873">
          <cell r="D1873">
            <v>5</v>
          </cell>
          <cell r="E1873">
            <v>3.4725559999999999E-3</v>
          </cell>
          <cell r="F1873" t="str">
            <v>Liquid</v>
          </cell>
        </row>
        <row r="1874">
          <cell r="D1874">
            <v>5</v>
          </cell>
          <cell r="E1874">
            <v>2.7922480000000002E-3</v>
          </cell>
          <cell r="F1874" t="str">
            <v>Liquid</v>
          </cell>
        </row>
        <row r="1875">
          <cell r="D1875">
            <v>5</v>
          </cell>
          <cell r="E1875">
            <v>3.304675E-3</v>
          </cell>
          <cell r="F1875" t="str">
            <v>Liquid</v>
          </cell>
        </row>
        <row r="1876">
          <cell r="D1876">
            <v>5</v>
          </cell>
          <cell r="E1876">
            <v>3.6676539999999998E-3</v>
          </cell>
          <cell r="F1876" t="str">
            <v>Liquid</v>
          </cell>
        </row>
        <row r="1877">
          <cell r="D1877">
            <v>5</v>
          </cell>
          <cell r="E1877">
            <v>7.6569159999999997E-4</v>
          </cell>
          <cell r="F1877" t="str">
            <v>Liquid</v>
          </cell>
        </row>
        <row r="1878">
          <cell r="D1878">
            <v>5</v>
          </cell>
          <cell r="E1878">
            <v>1.21072E-2</v>
          </cell>
          <cell r="F1878" t="str">
            <v>Liquid</v>
          </cell>
        </row>
        <row r="1879">
          <cell r="D1879">
            <v>5</v>
          </cell>
          <cell r="E1879">
            <v>2.4883409999999998E-3</v>
          </cell>
          <cell r="F1879" t="str">
            <v>Liquid</v>
          </cell>
        </row>
        <row r="1880">
          <cell r="D1880">
            <v>5</v>
          </cell>
          <cell r="E1880">
            <v>2.8611539999999999E-3</v>
          </cell>
          <cell r="F1880" t="str">
            <v>Liquid</v>
          </cell>
        </row>
        <row r="1881">
          <cell r="D1881">
            <v>5</v>
          </cell>
          <cell r="E1881">
            <v>4.9811250000000003E-3</v>
          </cell>
          <cell r="F1881" t="str">
            <v>Liquid</v>
          </cell>
        </row>
        <row r="1882">
          <cell r="D1882">
            <v>5</v>
          </cell>
          <cell r="E1882">
            <v>3.5719599999999999E-3</v>
          </cell>
          <cell r="F1882" t="str">
            <v>Liquid</v>
          </cell>
        </row>
        <row r="1883">
          <cell r="D1883">
            <v>5</v>
          </cell>
          <cell r="E1883">
            <v>2.7750029999999998E-3</v>
          </cell>
          <cell r="F1883" t="str">
            <v>Liquid</v>
          </cell>
        </row>
        <row r="1884">
          <cell r="D1884">
            <v>5</v>
          </cell>
          <cell r="E1884">
            <v>8.0835860000000002E-3</v>
          </cell>
          <cell r="F1884" t="str">
            <v>Liquid</v>
          </cell>
        </row>
        <row r="1885">
          <cell r="D1885">
            <v>5</v>
          </cell>
          <cell r="E1885">
            <v>0.25142520000000002</v>
          </cell>
          <cell r="F1885" t="str">
            <v>Liquid</v>
          </cell>
        </row>
        <row r="1886">
          <cell r="D1886">
            <v>5</v>
          </cell>
          <cell r="E1886">
            <v>8.3186650000000001E-2</v>
          </cell>
          <cell r="F1886" t="str">
            <v>Liquid</v>
          </cell>
        </row>
        <row r="1887">
          <cell r="D1887">
            <v>5</v>
          </cell>
          <cell r="E1887">
            <v>8.3186650000000001E-2</v>
          </cell>
          <cell r="F1887" t="str">
            <v>Liquid</v>
          </cell>
        </row>
        <row r="1888">
          <cell r="D1888">
            <v>5</v>
          </cell>
          <cell r="E1888">
            <v>7.9929890000000007E-3</v>
          </cell>
          <cell r="F1888" t="str">
            <v>Liquid</v>
          </cell>
        </row>
        <row r="1889">
          <cell r="D1889">
            <v>5</v>
          </cell>
          <cell r="E1889">
            <v>7.9929890000000007E-3</v>
          </cell>
          <cell r="F1889" t="str">
            <v>Liquid</v>
          </cell>
        </row>
        <row r="1890">
          <cell r="D1890">
            <v>5</v>
          </cell>
          <cell r="E1890">
            <v>9.355934E-4</v>
          </cell>
          <cell r="F1890" t="str">
            <v>Liquid</v>
          </cell>
        </row>
        <row r="1891">
          <cell r="D1891">
            <v>5</v>
          </cell>
          <cell r="E1891">
            <v>9.355934E-4</v>
          </cell>
          <cell r="F1891" t="str">
            <v>Liquid</v>
          </cell>
        </row>
        <row r="1892">
          <cell r="D1892">
            <v>5</v>
          </cell>
          <cell r="E1892">
            <v>1.2171199999999999E-3</v>
          </cell>
          <cell r="F1892" t="str">
            <v>Liquid</v>
          </cell>
        </row>
        <row r="1893">
          <cell r="D1893">
            <v>5</v>
          </cell>
          <cell r="E1893">
            <v>1.2171199999999999E-3</v>
          </cell>
          <cell r="F1893" t="str">
            <v>Liquid</v>
          </cell>
        </row>
        <row r="1894">
          <cell r="D1894">
            <v>5</v>
          </cell>
          <cell r="E1894">
            <v>9.3272110000000002E-3</v>
          </cell>
          <cell r="F1894" t="str">
            <v>Liquid</v>
          </cell>
        </row>
        <row r="1895">
          <cell r="D1895">
            <v>5</v>
          </cell>
          <cell r="E1895">
            <v>9.3272110000000002E-3</v>
          </cell>
          <cell r="F1895" t="str">
            <v>Liquid</v>
          </cell>
        </row>
        <row r="1896">
          <cell r="D1896">
            <v>5</v>
          </cell>
          <cell r="E1896">
            <v>3.1091119999999998E-3</v>
          </cell>
          <cell r="F1896" t="str">
            <v>Liquid</v>
          </cell>
        </row>
        <row r="1897">
          <cell r="D1897">
            <v>5</v>
          </cell>
          <cell r="E1897">
            <v>3.1091119999999998E-3</v>
          </cell>
          <cell r="F1897" t="str">
            <v>Liquid</v>
          </cell>
        </row>
        <row r="1898">
          <cell r="D1898">
            <v>5</v>
          </cell>
          <cell r="E1898">
            <v>2.4571129999999999E-3</v>
          </cell>
          <cell r="F1898" t="str">
            <v>Liquid</v>
          </cell>
        </row>
        <row r="1899">
          <cell r="D1899">
            <v>5</v>
          </cell>
          <cell r="E1899">
            <v>2.4571129999999999E-3</v>
          </cell>
          <cell r="F1899" t="str">
            <v>Liquid</v>
          </cell>
        </row>
        <row r="1900">
          <cell r="D1900">
            <v>5</v>
          </cell>
          <cell r="E1900">
            <v>1.6188859999999999E-2</v>
          </cell>
          <cell r="F1900" t="str">
            <v>Liquid</v>
          </cell>
        </row>
        <row r="1901">
          <cell r="D1901">
            <v>5</v>
          </cell>
          <cell r="E1901">
            <v>1.6188859999999999E-2</v>
          </cell>
          <cell r="F1901" t="str">
            <v>Liquid</v>
          </cell>
        </row>
        <row r="1902">
          <cell r="D1902">
            <v>5</v>
          </cell>
          <cell r="E1902">
            <v>0.13704060000000001</v>
          </cell>
          <cell r="F1902" t="str">
            <v>Liquid</v>
          </cell>
        </row>
        <row r="1903">
          <cell r="D1903">
            <v>5</v>
          </cell>
          <cell r="E1903">
            <v>0.13704060000000001</v>
          </cell>
          <cell r="F1903" t="str">
            <v>Liquid</v>
          </cell>
        </row>
        <row r="1904">
          <cell r="D1904">
            <v>5</v>
          </cell>
          <cell r="E1904">
            <v>3.33047E-2</v>
          </cell>
          <cell r="F1904" t="str">
            <v>Liquid</v>
          </cell>
        </row>
        <row r="1905">
          <cell r="D1905">
            <v>5</v>
          </cell>
          <cell r="E1905">
            <v>3.33047E-2</v>
          </cell>
          <cell r="F1905" t="str">
            <v>Liquid</v>
          </cell>
        </row>
        <row r="1906">
          <cell r="D1906">
            <v>5</v>
          </cell>
          <cell r="E1906">
            <v>2.2113879999999999E-2</v>
          </cell>
          <cell r="F1906" t="str">
            <v>Liquid</v>
          </cell>
        </row>
        <row r="1907">
          <cell r="D1907">
            <v>5</v>
          </cell>
          <cell r="E1907">
            <v>2.2113879999999999E-2</v>
          </cell>
          <cell r="F1907" t="str">
            <v>Liquid</v>
          </cell>
        </row>
        <row r="1908">
          <cell r="D1908">
            <v>5</v>
          </cell>
          <cell r="E1908">
            <v>2.9316860000000002E-3</v>
          </cell>
          <cell r="F1908" t="str">
            <v>Liquid</v>
          </cell>
        </row>
        <row r="1909">
          <cell r="D1909">
            <v>5</v>
          </cell>
          <cell r="E1909">
            <v>2.9316860000000002E-3</v>
          </cell>
          <cell r="F1909" t="str">
            <v>Liquid</v>
          </cell>
        </row>
        <row r="1910">
          <cell r="D1910">
            <v>5</v>
          </cell>
          <cell r="E1910">
            <v>2.247846E-3</v>
          </cell>
          <cell r="F1910" t="str">
            <v>Liquid</v>
          </cell>
        </row>
        <row r="1911">
          <cell r="D1911">
            <v>5</v>
          </cell>
          <cell r="E1911">
            <v>1.018E-3</v>
          </cell>
          <cell r="F1911" t="str">
            <v>Liquid</v>
          </cell>
        </row>
        <row r="1912">
          <cell r="D1912">
            <v>5</v>
          </cell>
          <cell r="E1912">
            <v>1.254371E-2</v>
          </cell>
          <cell r="F1912" t="str">
            <v>Liquid</v>
          </cell>
        </row>
        <row r="1913">
          <cell r="D1913">
            <v>5</v>
          </cell>
          <cell r="E1913">
            <v>7.4990720000000003E-4</v>
          </cell>
          <cell r="F1913" t="str">
            <v>Liquid</v>
          </cell>
        </row>
        <row r="1914">
          <cell r="D1914">
            <v>5</v>
          </cell>
          <cell r="E1914">
            <v>5.8835379999999998E-3</v>
          </cell>
          <cell r="F1914" t="str">
            <v>Liquid</v>
          </cell>
        </row>
        <row r="1915">
          <cell r="D1915">
            <v>5</v>
          </cell>
          <cell r="E1915">
            <v>3.1163269999999999E-3</v>
          </cell>
          <cell r="F1915" t="str">
            <v>Liquid</v>
          </cell>
        </row>
        <row r="1916">
          <cell r="D1916">
            <v>5</v>
          </cell>
          <cell r="E1916">
            <v>0.2710941</v>
          </cell>
          <cell r="F1916" t="str">
            <v>Liquid</v>
          </cell>
        </row>
        <row r="1917">
          <cell r="D1917">
            <v>5</v>
          </cell>
          <cell r="E1917">
            <v>1.7349500000000001E-3</v>
          </cell>
          <cell r="F1917" t="str">
            <v>Liquid</v>
          </cell>
        </row>
        <row r="1918">
          <cell r="D1918">
            <v>5</v>
          </cell>
          <cell r="E1918">
            <v>4.7758460000000003E-3</v>
          </cell>
          <cell r="F1918" t="str">
            <v>Liquid</v>
          </cell>
        </row>
        <row r="1919">
          <cell r="D1919">
            <v>5</v>
          </cell>
          <cell r="E1919">
            <v>4.3404149999999998E-4</v>
          </cell>
          <cell r="F1919" t="str">
            <v>Liquid</v>
          </cell>
        </row>
        <row r="1920">
          <cell r="D1920">
            <v>5</v>
          </cell>
          <cell r="E1920">
            <v>3.3272779999999999E-3</v>
          </cell>
          <cell r="F1920" t="str">
            <v>Liquid</v>
          </cell>
        </row>
        <row r="1921">
          <cell r="D1921">
            <v>5</v>
          </cell>
          <cell r="E1921">
            <v>1.327993E-3</v>
          </cell>
          <cell r="F1921" t="str">
            <v>Liquid</v>
          </cell>
        </row>
        <row r="1922">
          <cell r="D1922">
            <v>5</v>
          </cell>
          <cell r="E1922">
            <v>2.4524120000000002E-3</v>
          </cell>
          <cell r="F1922" t="str">
            <v>Liquid</v>
          </cell>
        </row>
        <row r="1923">
          <cell r="D1923">
            <v>5</v>
          </cell>
          <cell r="E1923">
            <v>5.7150230000000003E-2</v>
          </cell>
          <cell r="F1923" t="str">
            <v>Liquid</v>
          </cell>
        </row>
        <row r="1924">
          <cell r="D1924">
            <v>5</v>
          </cell>
          <cell r="E1924">
            <v>0.33679559999999997</v>
          </cell>
          <cell r="F1924" t="str">
            <v>Liquid</v>
          </cell>
        </row>
        <row r="1925">
          <cell r="D1925">
            <v>5</v>
          </cell>
          <cell r="E1925">
            <v>3.8414669999999999E-3</v>
          </cell>
          <cell r="F1925" t="str">
            <v>Liquid</v>
          </cell>
        </row>
        <row r="1926">
          <cell r="D1926">
            <v>5</v>
          </cell>
          <cell r="E1926">
            <v>2.616944E-3</v>
          </cell>
          <cell r="F1926" t="str">
            <v>Liquid</v>
          </cell>
        </row>
        <row r="1927">
          <cell r="D1927">
            <v>5</v>
          </cell>
          <cell r="E1927">
            <v>2.7309449999999998E-3</v>
          </cell>
          <cell r="F1927" t="str">
            <v>Liquid</v>
          </cell>
        </row>
        <row r="1928">
          <cell r="D1928">
            <v>5</v>
          </cell>
          <cell r="E1928">
            <v>1.0637290000000001E-2</v>
          </cell>
          <cell r="F1928" t="str">
            <v>Liquid</v>
          </cell>
        </row>
        <row r="1929">
          <cell r="D1929">
            <v>5</v>
          </cell>
          <cell r="E1929">
            <v>1.5662820000000001E-2</v>
          </cell>
          <cell r="F1929" t="str">
            <v>Liquid</v>
          </cell>
        </row>
        <row r="1930">
          <cell r="D1930">
            <v>5</v>
          </cell>
          <cell r="E1930">
            <v>6.2551960000000002E-3</v>
          </cell>
          <cell r="F1930" t="str">
            <v>Liquid</v>
          </cell>
        </row>
        <row r="1931">
          <cell r="D1931">
            <v>5</v>
          </cell>
          <cell r="E1931">
            <v>6.2551339999999999E-3</v>
          </cell>
          <cell r="F1931" t="str">
            <v>Liquid</v>
          </cell>
        </row>
        <row r="1932">
          <cell r="D1932">
            <v>5</v>
          </cell>
          <cell r="E1932">
            <v>1.5875759999999999E-2</v>
          </cell>
          <cell r="F1932" t="str">
            <v>Liquid</v>
          </cell>
        </row>
        <row r="1933">
          <cell r="D1933">
            <v>5</v>
          </cell>
          <cell r="E1933">
            <v>3.2094509999999999E-3</v>
          </cell>
          <cell r="F1933" t="str">
            <v>Liquid</v>
          </cell>
        </row>
        <row r="1934">
          <cell r="D1934">
            <v>5</v>
          </cell>
          <cell r="E1934">
            <v>8.0350419999999992E-3</v>
          </cell>
          <cell r="F1934" t="str">
            <v>Liquid</v>
          </cell>
        </row>
        <row r="1935">
          <cell r="D1935">
            <v>5</v>
          </cell>
          <cell r="E1935">
            <v>3.2137469999999999E-3</v>
          </cell>
          <cell r="F1935" t="str">
            <v>Liquid</v>
          </cell>
        </row>
        <row r="1936">
          <cell r="D1936">
            <v>5</v>
          </cell>
          <cell r="E1936">
            <v>1.1673580000000001E-3</v>
          </cell>
          <cell r="F1936" t="str">
            <v>Liquid</v>
          </cell>
        </row>
        <row r="1937">
          <cell r="D1937">
            <v>5</v>
          </cell>
          <cell r="E1937">
            <v>2.5427829999999998E-3</v>
          </cell>
          <cell r="F1937" t="str">
            <v>Liquid</v>
          </cell>
        </row>
        <row r="1938">
          <cell r="D1938">
            <v>5</v>
          </cell>
          <cell r="E1938">
            <v>2.5427269999999998E-3</v>
          </cell>
          <cell r="F1938" t="str">
            <v>Liquid</v>
          </cell>
        </row>
        <row r="1939">
          <cell r="D1939">
            <v>5</v>
          </cell>
          <cell r="E1939">
            <v>0.1121698</v>
          </cell>
          <cell r="F1939" t="str">
            <v>Liquid</v>
          </cell>
        </row>
        <row r="1940">
          <cell r="D1940">
            <v>5</v>
          </cell>
          <cell r="E1940">
            <v>9.0256969999999992E-3</v>
          </cell>
          <cell r="F1940" t="str">
            <v>Liquid</v>
          </cell>
        </row>
        <row r="1941">
          <cell r="D1941">
            <v>5</v>
          </cell>
          <cell r="E1941">
            <v>2.180414E-2</v>
          </cell>
          <cell r="F1941" t="str">
            <v>Liquid</v>
          </cell>
        </row>
        <row r="1942">
          <cell r="D1942">
            <v>5</v>
          </cell>
          <cell r="E1942">
            <v>9.1231509999999995E-4</v>
          </cell>
          <cell r="F1942" t="str">
            <v>Liquid</v>
          </cell>
        </row>
        <row r="1943">
          <cell r="D1943">
            <v>5</v>
          </cell>
          <cell r="E1943">
            <v>4.9037949999999999E-3</v>
          </cell>
          <cell r="F1943" t="str">
            <v>Liquid</v>
          </cell>
        </row>
        <row r="1944">
          <cell r="D1944">
            <v>5</v>
          </cell>
          <cell r="E1944">
            <v>0.32927820000000002</v>
          </cell>
          <cell r="F1944" t="str">
            <v>Liquid</v>
          </cell>
        </row>
        <row r="1945">
          <cell r="D1945">
            <v>5</v>
          </cell>
          <cell r="E1945">
            <v>0.3369955</v>
          </cell>
          <cell r="F1945" t="str">
            <v>Liquid</v>
          </cell>
        </row>
        <row r="1946">
          <cell r="D1946">
            <v>5</v>
          </cell>
          <cell r="E1946">
            <v>3.1482140000000002E-6</v>
          </cell>
          <cell r="F1946" t="str">
            <v>Liquid</v>
          </cell>
        </row>
        <row r="1947">
          <cell r="D1947">
            <v>5</v>
          </cell>
          <cell r="E1947">
            <v>2.4752350000000001E-3</v>
          </cell>
          <cell r="F1947" t="str">
            <v>Liquid</v>
          </cell>
        </row>
        <row r="1948">
          <cell r="D1948">
            <v>5</v>
          </cell>
          <cell r="E1948">
            <v>1.9585290000000001E-3</v>
          </cell>
          <cell r="F1948" t="str">
            <v>Liquid</v>
          </cell>
        </row>
        <row r="1949">
          <cell r="D1949">
            <v>5</v>
          </cell>
          <cell r="E1949">
            <v>1.6680530000000001E-3</v>
          </cell>
          <cell r="F1949" t="str">
            <v>Liquid</v>
          </cell>
        </row>
        <row r="1950">
          <cell r="D1950">
            <v>5</v>
          </cell>
          <cell r="E1950">
            <v>1.1346660000000001E-3</v>
          </cell>
          <cell r="F1950" t="str">
            <v>Liquid</v>
          </cell>
        </row>
        <row r="1951">
          <cell r="D1951">
            <v>5</v>
          </cell>
          <cell r="E1951">
            <v>4.9253440000000001E-4</v>
          </cell>
          <cell r="F1951" t="str">
            <v>Liquid</v>
          </cell>
        </row>
        <row r="1952">
          <cell r="D1952">
            <v>5</v>
          </cell>
          <cell r="E1952">
            <v>4.7676560000000002E-4</v>
          </cell>
          <cell r="F1952" t="str">
            <v>Liquid</v>
          </cell>
        </row>
        <row r="1953">
          <cell r="D1953">
            <v>5</v>
          </cell>
          <cell r="E1953">
            <v>1.161769E-2</v>
          </cell>
          <cell r="F1953" t="str">
            <v>Liquid</v>
          </cell>
        </row>
        <row r="1954">
          <cell r="D1954">
            <v>5</v>
          </cell>
          <cell r="E1954">
            <v>2.4957849999999999E-3</v>
          </cell>
          <cell r="F1954" t="str">
            <v>Liquid</v>
          </cell>
        </row>
        <row r="1955">
          <cell r="D1955">
            <v>5</v>
          </cell>
          <cell r="E1955">
            <v>9.7280539999999999E-2</v>
          </cell>
          <cell r="F1955" t="str">
            <v>Liquid</v>
          </cell>
        </row>
        <row r="1956">
          <cell r="D1956">
            <v>5</v>
          </cell>
          <cell r="E1956">
            <v>5.4003410000000003E-3</v>
          </cell>
          <cell r="F1956" t="str">
            <v>Liquid</v>
          </cell>
        </row>
        <row r="1957">
          <cell r="D1957">
            <v>5</v>
          </cell>
          <cell r="E1957">
            <v>3.4832660000000001E-2</v>
          </cell>
          <cell r="F1957" t="str">
            <v>Liquid</v>
          </cell>
        </row>
        <row r="1958">
          <cell r="D1958">
            <v>5</v>
          </cell>
          <cell r="E1958">
            <v>2.7411079999999999E-4</v>
          </cell>
          <cell r="F1958" t="str">
            <v>Liquid</v>
          </cell>
        </row>
        <row r="1959">
          <cell r="D1959">
            <v>5</v>
          </cell>
          <cell r="E1959">
            <v>2.8197370000000001E-3</v>
          </cell>
          <cell r="F1959" t="str">
            <v>Liquid</v>
          </cell>
        </row>
        <row r="1960">
          <cell r="D1960">
            <v>5</v>
          </cell>
          <cell r="E1960">
            <v>2.2604080000000002E-3</v>
          </cell>
          <cell r="F1960" t="str">
            <v>Liquid</v>
          </cell>
        </row>
        <row r="1961">
          <cell r="D1961">
            <v>5</v>
          </cell>
          <cell r="E1961">
            <v>1.684138E-3</v>
          </cell>
          <cell r="F1961" t="str">
            <v>Liquid</v>
          </cell>
        </row>
        <row r="1962">
          <cell r="D1962">
            <v>5</v>
          </cell>
          <cell r="E1962">
            <v>2.995017E-3</v>
          </cell>
          <cell r="F1962" t="str">
            <v>Liquid</v>
          </cell>
        </row>
        <row r="1963">
          <cell r="D1963">
            <v>5</v>
          </cell>
          <cell r="E1963">
            <v>2.9950150000000002E-3</v>
          </cell>
          <cell r="F1963" t="str">
            <v>Liquid</v>
          </cell>
        </row>
        <row r="1964">
          <cell r="D1964">
            <v>5</v>
          </cell>
          <cell r="E1964">
            <v>2.9505429999999999E-3</v>
          </cell>
          <cell r="F1964" t="str">
            <v>Liquid</v>
          </cell>
        </row>
        <row r="1965">
          <cell r="D1965">
            <v>5</v>
          </cell>
          <cell r="E1965">
            <v>1.90179E-3</v>
          </cell>
          <cell r="F1965" t="str">
            <v>Liquid</v>
          </cell>
        </row>
        <row r="1966">
          <cell r="D1966">
            <v>5</v>
          </cell>
          <cell r="E1966">
            <v>1.7146010000000001E-3</v>
          </cell>
          <cell r="F1966" t="str">
            <v>Liquid</v>
          </cell>
        </row>
        <row r="1967">
          <cell r="D1967">
            <v>5</v>
          </cell>
          <cell r="E1967">
            <v>8.8841100000000006E-3</v>
          </cell>
          <cell r="F1967" t="str">
            <v>Liquid</v>
          </cell>
        </row>
        <row r="1968">
          <cell r="D1968">
            <v>5</v>
          </cell>
          <cell r="E1968">
            <v>2.0879849999999998E-2</v>
          </cell>
          <cell r="F1968" t="str">
            <v>Liquid</v>
          </cell>
        </row>
        <row r="1969">
          <cell r="D1969">
            <v>5</v>
          </cell>
          <cell r="E1969">
            <v>4.5556659999999999E-3</v>
          </cell>
          <cell r="F1969" t="str">
            <v>Liquid</v>
          </cell>
        </row>
        <row r="1970">
          <cell r="D1970">
            <v>5</v>
          </cell>
          <cell r="E1970">
            <v>4.1642950000000001E-4</v>
          </cell>
          <cell r="F1970" t="str">
            <v>Liquid</v>
          </cell>
        </row>
        <row r="1971">
          <cell r="D1971">
            <v>5</v>
          </cell>
          <cell r="E1971">
            <v>2.032491E-3</v>
          </cell>
          <cell r="F1971" t="str">
            <v>Liquid</v>
          </cell>
        </row>
        <row r="1972">
          <cell r="D1972">
            <v>5</v>
          </cell>
          <cell r="E1972">
            <v>2.8567049999999997E-4</v>
          </cell>
          <cell r="F1972" t="str">
            <v>Liquid</v>
          </cell>
        </row>
        <row r="1973">
          <cell r="D1973">
            <v>5</v>
          </cell>
          <cell r="E1973">
            <v>1.6905480000000001E-3</v>
          </cell>
          <cell r="F1973" t="str">
            <v>Liquid</v>
          </cell>
        </row>
        <row r="1974">
          <cell r="D1974">
            <v>5</v>
          </cell>
          <cell r="E1974">
            <v>3.095577E-3</v>
          </cell>
          <cell r="F1974" t="str">
            <v>Liquid</v>
          </cell>
        </row>
        <row r="1975">
          <cell r="D1975">
            <v>5</v>
          </cell>
          <cell r="E1975">
            <v>7.2148560000000004E-3</v>
          </cell>
          <cell r="F1975" t="str">
            <v>Liquid</v>
          </cell>
        </row>
        <row r="1976">
          <cell r="D1976">
            <v>5</v>
          </cell>
          <cell r="E1976">
            <v>4.0757099999999997E-3</v>
          </cell>
          <cell r="F1976" t="str">
            <v>Liquid</v>
          </cell>
        </row>
        <row r="1977">
          <cell r="D1977">
            <v>5</v>
          </cell>
          <cell r="E1977">
            <v>8.5847419999999994E-3</v>
          </cell>
          <cell r="F1977" t="str">
            <v>Liquid</v>
          </cell>
        </row>
        <row r="1978">
          <cell r="D1978">
            <v>5</v>
          </cell>
          <cell r="E1978">
            <v>4.946977E-3</v>
          </cell>
          <cell r="F1978" t="str">
            <v>Liquid</v>
          </cell>
        </row>
        <row r="1979">
          <cell r="D1979">
            <v>5</v>
          </cell>
          <cell r="E1979">
            <v>1.421563E-2</v>
          </cell>
          <cell r="F1979" t="str">
            <v>Liquid</v>
          </cell>
        </row>
        <row r="1980">
          <cell r="D1980">
            <v>5</v>
          </cell>
          <cell r="E1980">
            <v>1.2656569999999999E-3</v>
          </cell>
          <cell r="F1980" t="str">
            <v>Liquid</v>
          </cell>
        </row>
        <row r="1981">
          <cell r="D1981">
            <v>5</v>
          </cell>
          <cell r="E1981">
            <v>3.3509440000000001E-2</v>
          </cell>
          <cell r="F1981" t="str">
            <v>Liquid</v>
          </cell>
        </row>
        <row r="1982">
          <cell r="D1982">
            <v>5</v>
          </cell>
          <cell r="E1982">
            <v>2.1257450000000001E-3</v>
          </cell>
          <cell r="F1982" t="str">
            <v>Liquid</v>
          </cell>
        </row>
        <row r="1983">
          <cell r="D1983">
            <v>5</v>
          </cell>
          <cell r="E1983">
            <v>2.1964689999999999E-3</v>
          </cell>
          <cell r="F1983" t="str">
            <v>Liquid</v>
          </cell>
        </row>
        <row r="1984">
          <cell r="D1984">
            <v>5</v>
          </cell>
          <cell r="E1984">
            <v>2.2672719999999999E-3</v>
          </cell>
          <cell r="F1984" t="str">
            <v>Liquid</v>
          </cell>
        </row>
        <row r="1985">
          <cell r="D1985">
            <v>5</v>
          </cell>
          <cell r="E1985">
            <v>2.3380749999999998E-3</v>
          </cell>
          <cell r="F1985" t="str">
            <v>Liquid</v>
          </cell>
        </row>
        <row r="1986">
          <cell r="D1986">
            <v>5</v>
          </cell>
          <cell r="E1986">
            <v>3.9322480000000002E-3</v>
          </cell>
          <cell r="F1986" t="str">
            <v>Liquid</v>
          </cell>
        </row>
        <row r="1987">
          <cell r="D1987">
            <v>5</v>
          </cell>
          <cell r="E1987">
            <v>6.6958479999999999E-3</v>
          </cell>
          <cell r="F1987" t="str">
            <v>Liquid</v>
          </cell>
        </row>
        <row r="1988">
          <cell r="D1988">
            <v>5</v>
          </cell>
          <cell r="E1988">
            <v>7.166408E-4</v>
          </cell>
          <cell r="F1988" t="str">
            <v>Liquid</v>
          </cell>
        </row>
        <row r="1989">
          <cell r="D1989">
            <v>5</v>
          </cell>
          <cell r="E1989">
            <v>5.1719600000000004E-4</v>
          </cell>
          <cell r="F1989" t="str">
            <v>Liquid</v>
          </cell>
        </row>
        <row r="1990">
          <cell r="D1990">
            <v>5</v>
          </cell>
          <cell r="E1990">
            <v>6.3850219999999997E-3</v>
          </cell>
          <cell r="F1990" t="str">
            <v>Liquid</v>
          </cell>
        </row>
        <row r="1991">
          <cell r="D1991">
            <v>5</v>
          </cell>
          <cell r="E1991">
            <v>5.163567E-3</v>
          </cell>
          <cell r="F1991" t="str">
            <v>Liquid</v>
          </cell>
        </row>
        <row r="1992">
          <cell r="D1992">
            <v>5</v>
          </cell>
          <cell r="E1992">
            <v>3.5243829999999997E-2</v>
          </cell>
          <cell r="F1992" t="str">
            <v>Liquid</v>
          </cell>
        </row>
        <row r="1993">
          <cell r="D1993">
            <v>5</v>
          </cell>
          <cell r="E1993">
            <v>7.8274789999999997E-2</v>
          </cell>
          <cell r="F1993" t="str">
            <v>Liquid</v>
          </cell>
        </row>
        <row r="1994">
          <cell r="D1994">
            <v>5</v>
          </cell>
          <cell r="E1994">
            <v>8.1275149999999994E-5</v>
          </cell>
          <cell r="F1994" t="str">
            <v>Liquid</v>
          </cell>
        </row>
        <row r="1995">
          <cell r="D1995">
            <v>5</v>
          </cell>
          <cell r="E1995">
            <v>0.1369734</v>
          </cell>
          <cell r="F1995" t="str">
            <v>Liquid</v>
          </cell>
        </row>
        <row r="1996">
          <cell r="D1996">
            <v>5</v>
          </cell>
          <cell r="E1996">
            <v>3.9946210000000003E-3</v>
          </cell>
          <cell r="F1996" t="str">
            <v>Liquid</v>
          </cell>
        </row>
        <row r="1997">
          <cell r="D1997">
            <v>5</v>
          </cell>
          <cell r="E1997">
            <v>1.127507E-3</v>
          </cell>
          <cell r="F1997" t="str">
            <v>Liquid</v>
          </cell>
        </row>
        <row r="1998">
          <cell r="D1998">
            <v>5</v>
          </cell>
          <cell r="E1998">
            <v>4.0373239999999998E-2</v>
          </cell>
          <cell r="F1998" t="str">
            <v>Liquid</v>
          </cell>
        </row>
        <row r="1999">
          <cell r="D1999">
            <v>5</v>
          </cell>
          <cell r="E1999">
            <v>5.1006380000000002E-3</v>
          </cell>
          <cell r="F1999" t="str">
            <v>Liquid</v>
          </cell>
        </row>
        <row r="2000">
          <cell r="D2000">
            <v>5</v>
          </cell>
          <cell r="E2000">
            <v>1.9429600000000001E-3</v>
          </cell>
          <cell r="F2000" t="str">
            <v>Liquid</v>
          </cell>
        </row>
        <row r="2001">
          <cell r="D2001">
            <v>5</v>
          </cell>
          <cell r="E2001">
            <v>0.52982969999999996</v>
          </cell>
          <cell r="F2001" t="str">
            <v>Liquid</v>
          </cell>
        </row>
        <row r="2002">
          <cell r="D2002">
            <v>5</v>
          </cell>
          <cell r="E2002">
            <v>0.34132190000000001</v>
          </cell>
          <cell r="F2002" t="str">
            <v>Liquid</v>
          </cell>
        </row>
        <row r="2003">
          <cell r="D2003">
            <v>5</v>
          </cell>
          <cell r="E2003">
            <v>8.4788309999999992E-3</v>
          </cell>
          <cell r="F2003" t="str">
            <v>Liquid</v>
          </cell>
        </row>
        <row r="2004">
          <cell r="D2004">
            <v>5</v>
          </cell>
          <cell r="E2004">
            <v>1.404778E-3</v>
          </cell>
          <cell r="F2004" t="str">
            <v>Liquid</v>
          </cell>
        </row>
        <row r="2005">
          <cell r="D2005">
            <v>5</v>
          </cell>
          <cell r="E2005">
            <v>2.4054830000000001E-5</v>
          </cell>
          <cell r="F2005" t="str">
            <v>Liquid</v>
          </cell>
        </row>
        <row r="2006">
          <cell r="D2006">
            <v>5</v>
          </cell>
          <cell r="E2006">
            <v>1.391275E-3</v>
          </cell>
          <cell r="F2006" t="str">
            <v>Liquid</v>
          </cell>
        </row>
        <row r="2007">
          <cell r="D2007">
            <v>5</v>
          </cell>
          <cell r="E2007">
            <v>2.7585370000000001E-3</v>
          </cell>
          <cell r="F2007" t="str">
            <v>Liquid</v>
          </cell>
        </row>
        <row r="2008">
          <cell r="D2008">
            <v>5</v>
          </cell>
          <cell r="E2008">
            <v>1.37754E-3</v>
          </cell>
          <cell r="F2008" t="str">
            <v>Liquid</v>
          </cell>
        </row>
        <row r="2009">
          <cell r="D2009">
            <v>5</v>
          </cell>
          <cell r="E2009">
            <v>2.7449169999999999E-3</v>
          </cell>
          <cell r="F2009" t="str">
            <v>Liquid</v>
          </cell>
        </row>
        <row r="2010">
          <cell r="D2010">
            <v>5</v>
          </cell>
          <cell r="E2010">
            <v>1.364196E-3</v>
          </cell>
          <cell r="F2010" t="str">
            <v>Liquid</v>
          </cell>
        </row>
        <row r="2011">
          <cell r="D2011">
            <v>5</v>
          </cell>
          <cell r="E2011">
            <v>1.350621E-3</v>
          </cell>
          <cell r="F2011" t="str">
            <v>Liquid</v>
          </cell>
        </row>
        <row r="2012">
          <cell r="D2012">
            <v>5</v>
          </cell>
          <cell r="E2012">
            <v>2.7179510000000001E-3</v>
          </cell>
          <cell r="F2012" t="str">
            <v>Liquid</v>
          </cell>
        </row>
        <row r="2013">
          <cell r="D2013">
            <v>5</v>
          </cell>
          <cell r="E2013">
            <v>4.0852079999999999E-3</v>
          </cell>
          <cell r="F2013" t="str">
            <v>Liquid</v>
          </cell>
        </row>
        <row r="2014">
          <cell r="D2014">
            <v>5</v>
          </cell>
          <cell r="E2014">
            <v>2.7043739999999998E-3</v>
          </cell>
          <cell r="F2014" t="str">
            <v>Liquid</v>
          </cell>
        </row>
        <row r="2015">
          <cell r="D2015">
            <v>5</v>
          </cell>
          <cell r="E2015">
            <v>4.0717890000000001E-3</v>
          </cell>
          <cell r="F2015" t="str">
            <v>Liquid</v>
          </cell>
        </row>
        <row r="2016">
          <cell r="D2016">
            <v>5</v>
          </cell>
          <cell r="E2016">
            <v>2.6909849999999999E-3</v>
          </cell>
          <cell r="F2016" t="str">
            <v>Liquid</v>
          </cell>
        </row>
        <row r="2017">
          <cell r="D2017">
            <v>5</v>
          </cell>
          <cell r="E2017">
            <v>3.4224020000000002E-3</v>
          </cell>
          <cell r="F2017" t="str">
            <v>Liquid</v>
          </cell>
        </row>
        <row r="2018">
          <cell r="D2018">
            <v>5</v>
          </cell>
          <cell r="E2018">
            <v>8.8536910000000003E-4</v>
          </cell>
          <cell r="F2018" t="str">
            <v>Liquid</v>
          </cell>
        </row>
        <row r="2019">
          <cell r="D2019">
            <v>5</v>
          </cell>
          <cell r="E2019">
            <v>1.0165949999999999E-3</v>
          </cell>
          <cell r="F2019" t="str">
            <v>Liquid</v>
          </cell>
        </row>
        <row r="2020">
          <cell r="D2020">
            <v>5</v>
          </cell>
          <cell r="E2020">
            <v>1.0395039999999999E-3</v>
          </cell>
          <cell r="F2020" t="str">
            <v>Liquid</v>
          </cell>
        </row>
        <row r="2021">
          <cell r="D2021">
            <v>5</v>
          </cell>
          <cell r="E2021">
            <v>2.356688E-3</v>
          </cell>
          <cell r="F2021" t="str">
            <v>Liquid</v>
          </cell>
        </row>
        <row r="2022">
          <cell r="D2022">
            <v>5</v>
          </cell>
          <cell r="E2022">
            <v>1.5438159999999999E-2</v>
          </cell>
          <cell r="F2022" t="str">
            <v>Liquid</v>
          </cell>
        </row>
        <row r="2023">
          <cell r="D2023">
            <v>5</v>
          </cell>
          <cell r="E2023">
            <v>2.4945570000000001E-3</v>
          </cell>
          <cell r="F2023" t="str">
            <v>Liquid</v>
          </cell>
        </row>
        <row r="2024">
          <cell r="D2024">
            <v>5</v>
          </cell>
          <cell r="E2024">
            <v>9.5199889999999995E-2</v>
          </cell>
          <cell r="F2024" t="str">
            <v>Liquid</v>
          </cell>
        </row>
        <row r="2025">
          <cell r="D2025">
            <v>5</v>
          </cell>
          <cell r="E2025">
            <v>3.4320339999999998E-2</v>
          </cell>
          <cell r="F2025" t="str">
            <v>Liquid</v>
          </cell>
        </row>
        <row r="2026">
          <cell r="D2026">
            <v>5</v>
          </cell>
          <cell r="E2026">
            <v>2.545201E-3</v>
          </cell>
          <cell r="F2026" t="str">
            <v>Liquid</v>
          </cell>
        </row>
        <row r="2027">
          <cell r="D2027">
            <v>5</v>
          </cell>
          <cell r="E2027">
            <v>1.512965E-3</v>
          </cell>
          <cell r="F2027" t="str">
            <v>Liquid</v>
          </cell>
        </row>
        <row r="2028">
          <cell r="D2028">
            <v>5</v>
          </cell>
          <cell r="E2028">
            <v>2.5451979999999998E-3</v>
          </cell>
          <cell r="F2028" t="str">
            <v>Liquid</v>
          </cell>
        </row>
        <row r="2029">
          <cell r="D2029">
            <v>5</v>
          </cell>
          <cell r="E2029">
            <v>2.5586089999999999E-3</v>
          </cell>
          <cell r="F2029" t="str">
            <v>Liquid</v>
          </cell>
        </row>
        <row r="2030">
          <cell r="D2030">
            <v>5</v>
          </cell>
          <cell r="E2030">
            <v>2.558589E-3</v>
          </cell>
          <cell r="F2030" t="str">
            <v>Liquid</v>
          </cell>
        </row>
        <row r="2031">
          <cell r="D2031">
            <v>5</v>
          </cell>
          <cell r="E2031">
            <v>2.1148650000000001E-3</v>
          </cell>
          <cell r="F2031" t="str">
            <v>Liquid</v>
          </cell>
        </row>
        <row r="2032">
          <cell r="D2032">
            <v>5</v>
          </cell>
          <cell r="E2032">
            <v>5.076166E-3</v>
          </cell>
          <cell r="F2032" t="str">
            <v>Liquid</v>
          </cell>
        </row>
        <row r="2033">
          <cell r="D2033">
            <v>5</v>
          </cell>
          <cell r="E2033">
            <v>2.479944E-4</v>
          </cell>
          <cell r="F2033" t="str">
            <v>Liquid</v>
          </cell>
        </row>
        <row r="2034">
          <cell r="D2034">
            <v>5</v>
          </cell>
          <cell r="E2034">
            <v>2.5706790000000002E-3</v>
          </cell>
          <cell r="F2034" t="str">
            <v>Liquid</v>
          </cell>
        </row>
        <row r="2035">
          <cell r="D2035">
            <v>5</v>
          </cell>
          <cell r="E2035">
            <v>2.5706119999999999E-3</v>
          </cell>
          <cell r="F2035" t="str">
            <v>Liquid</v>
          </cell>
        </row>
        <row r="2036">
          <cell r="D2036">
            <v>5</v>
          </cell>
          <cell r="E2036">
            <v>2.5706100000000001E-3</v>
          </cell>
          <cell r="F2036" t="str">
            <v>Liquid</v>
          </cell>
        </row>
        <row r="2037">
          <cell r="D2037">
            <v>5</v>
          </cell>
          <cell r="E2037">
            <v>4.8719239999999997E-3</v>
          </cell>
          <cell r="F2037" t="str">
            <v>Liquid</v>
          </cell>
        </row>
        <row r="2038">
          <cell r="D2038">
            <v>5</v>
          </cell>
          <cell r="E2038">
            <v>2.5706079999999998E-3</v>
          </cell>
          <cell r="F2038" t="str">
            <v>Liquid</v>
          </cell>
        </row>
        <row r="2039">
          <cell r="D2039">
            <v>5</v>
          </cell>
          <cell r="E2039">
            <v>5.1041369999999999E-3</v>
          </cell>
          <cell r="F2039" t="str">
            <v>Liquid</v>
          </cell>
        </row>
        <row r="2040">
          <cell r="D2040">
            <v>5</v>
          </cell>
          <cell r="E2040">
            <v>1.393535E-3</v>
          </cell>
          <cell r="F2040" t="str">
            <v>Liquid</v>
          </cell>
        </row>
        <row r="2041">
          <cell r="D2041">
            <v>5</v>
          </cell>
          <cell r="E2041">
            <v>2.46444E-3</v>
          </cell>
          <cell r="F2041" t="str">
            <v>Liquid</v>
          </cell>
        </row>
        <row r="2042">
          <cell r="D2042">
            <v>5</v>
          </cell>
          <cell r="E2042">
            <v>2.5895100000000002E-3</v>
          </cell>
          <cell r="F2042" t="str">
            <v>Liquid</v>
          </cell>
        </row>
        <row r="2043">
          <cell r="D2043">
            <v>5</v>
          </cell>
          <cell r="E2043">
            <v>2.517675E-3</v>
          </cell>
          <cell r="F2043" t="str">
            <v>Liquid</v>
          </cell>
        </row>
        <row r="2044">
          <cell r="D2044">
            <v>5</v>
          </cell>
          <cell r="E2044">
            <v>1.227372E-2</v>
          </cell>
          <cell r="F2044" t="str">
            <v>Liquid</v>
          </cell>
        </row>
        <row r="2045">
          <cell r="D2045">
            <v>5</v>
          </cell>
          <cell r="E2045">
            <v>4.9066910000000004E-3</v>
          </cell>
          <cell r="F2045" t="str">
            <v>Liquid</v>
          </cell>
        </row>
        <row r="2046">
          <cell r="D2046">
            <v>5</v>
          </cell>
          <cell r="E2046">
            <v>7.4010550000000001E-3</v>
          </cell>
          <cell r="F2046" t="str">
            <v>Liquid</v>
          </cell>
        </row>
        <row r="2047">
          <cell r="D2047">
            <v>5</v>
          </cell>
          <cell r="E2047">
            <v>1.1845829999999999E-3</v>
          </cell>
          <cell r="F2047" t="str">
            <v>Liquid</v>
          </cell>
        </row>
        <row r="2048">
          <cell r="D2048">
            <v>5</v>
          </cell>
          <cell r="E2048">
            <v>2.6476580000000002E-3</v>
          </cell>
          <cell r="F2048" t="str">
            <v>Liquid</v>
          </cell>
        </row>
        <row r="2049">
          <cell r="D2049">
            <v>5</v>
          </cell>
          <cell r="E2049">
            <v>2.5213309999999999E-3</v>
          </cell>
          <cell r="F2049" t="str">
            <v>Liquid</v>
          </cell>
        </row>
        <row r="2050">
          <cell r="D2050">
            <v>5</v>
          </cell>
          <cell r="E2050">
            <v>5.042599E-3</v>
          </cell>
          <cell r="F2050" t="str">
            <v>Liquid</v>
          </cell>
        </row>
        <row r="2051">
          <cell r="D2051">
            <v>5</v>
          </cell>
          <cell r="E2051">
            <v>3.280189E-4</v>
          </cell>
          <cell r="F2051" t="str">
            <v>Liquid</v>
          </cell>
        </row>
        <row r="2052">
          <cell r="D2052">
            <v>5</v>
          </cell>
          <cell r="E2052">
            <v>0.11129500000000001</v>
          </cell>
          <cell r="F2052" t="str">
            <v>Liquid</v>
          </cell>
        </row>
        <row r="2053">
          <cell r="D2053">
            <v>5</v>
          </cell>
          <cell r="E2053">
            <v>2.5237340000000001E-3</v>
          </cell>
          <cell r="F2053" t="str">
            <v>Liquid</v>
          </cell>
        </row>
        <row r="2054">
          <cell r="D2054">
            <v>5</v>
          </cell>
          <cell r="E2054">
            <v>5.7783909999999995E-4</v>
          </cell>
          <cell r="F2054" t="str">
            <v>Liquid</v>
          </cell>
        </row>
        <row r="2055">
          <cell r="D2055">
            <v>5</v>
          </cell>
          <cell r="E2055">
            <v>1.330012E-2</v>
          </cell>
          <cell r="F2055" t="str">
            <v>Liquid</v>
          </cell>
        </row>
        <row r="2056">
          <cell r="D2056">
            <v>5</v>
          </cell>
          <cell r="E2056">
            <v>2.456911E-3</v>
          </cell>
          <cell r="F2056" t="str">
            <v>Liquid</v>
          </cell>
        </row>
        <row r="2057">
          <cell r="D2057">
            <v>5</v>
          </cell>
          <cell r="E2057">
            <v>0.1113343</v>
          </cell>
          <cell r="F2057" t="str">
            <v>Liquid</v>
          </cell>
        </row>
        <row r="2058">
          <cell r="D2058">
            <v>5</v>
          </cell>
          <cell r="E2058">
            <v>1.1176350000000001E-3</v>
          </cell>
          <cell r="F2058" t="str">
            <v>Liquid</v>
          </cell>
        </row>
        <row r="2059">
          <cell r="D2059">
            <v>5</v>
          </cell>
          <cell r="E2059">
            <v>1.2475640000000001E-3</v>
          </cell>
          <cell r="F2059" t="str">
            <v>Liquid</v>
          </cell>
        </row>
        <row r="2060">
          <cell r="D2060">
            <v>5</v>
          </cell>
          <cell r="E2060">
            <v>2.2754660000000001E-4</v>
          </cell>
          <cell r="F2060" t="str">
            <v>Liquid</v>
          </cell>
        </row>
        <row r="2061">
          <cell r="D2061">
            <v>5</v>
          </cell>
          <cell r="E2061">
            <v>2.454183E-3</v>
          </cell>
          <cell r="F2061" t="str">
            <v>Liquid</v>
          </cell>
        </row>
        <row r="2062">
          <cell r="D2062">
            <v>5</v>
          </cell>
          <cell r="E2062">
            <v>2.160155E-3</v>
          </cell>
          <cell r="F2062" t="str">
            <v>Liquid</v>
          </cell>
        </row>
        <row r="2063">
          <cell r="D2063">
            <v>5</v>
          </cell>
          <cell r="E2063">
            <v>6.8876429999999997E-3</v>
          </cell>
          <cell r="F2063" t="str">
            <v>Liquid</v>
          </cell>
        </row>
        <row r="2064">
          <cell r="D2064">
            <v>5</v>
          </cell>
          <cell r="E2064">
            <v>2.4978829999999998E-3</v>
          </cell>
          <cell r="F2064" t="str">
            <v>Liquid</v>
          </cell>
        </row>
        <row r="2065">
          <cell r="D2065">
            <v>5</v>
          </cell>
          <cell r="E2065">
            <v>4.4456979999999997E-3</v>
          </cell>
          <cell r="F2065" t="str">
            <v>Liquid</v>
          </cell>
        </row>
        <row r="2066">
          <cell r="D2066">
            <v>5</v>
          </cell>
          <cell r="E2066">
            <v>0.1101394</v>
          </cell>
          <cell r="F2066" t="str">
            <v>Liquid</v>
          </cell>
        </row>
        <row r="2067">
          <cell r="D2067">
            <v>5</v>
          </cell>
          <cell r="E2067">
            <v>2.0217109999999998E-3</v>
          </cell>
          <cell r="F2067" t="str">
            <v>Liquid</v>
          </cell>
        </row>
        <row r="2068">
          <cell r="D2068">
            <v>5</v>
          </cell>
          <cell r="E2068">
            <v>1.8505150000000001E-3</v>
          </cell>
          <cell r="F2068" t="str">
            <v>Liquid</v>
          </cell>
        </row>
        <row r="2069">
          <cell r="D2069">
            <v>5</v>
          </cell>
          <cell r="E2069">
            <v>1.1705399999999999E-2</v>
          </cell>
          <cell r="F2069" t="str">
            <v>Liquid</v>
          </cell>
        </row>
        <row r="2070">
          <cell r="D2070">
            <v>5</v>
          </cell>
          <cell r="E2070">
            <v>2.45436E-3</v>
          </cell>
          <cell r="F2070" t="str">
            <v>Liquid</v>
          </cell>
        </row>
        <row r="2071">
          <cell r="D2071">
            <v>5</v>
          </cell>
          <cell r="E2071">
            <v>0.1101511</v>
          </cell>
          <cell r="F2071" t="str">
            <v>Liquid</v>
          </cell>
        </row>
        <row r="2072">
          <cell r="D2072">
            <v>6</v>
          </cell>
          <cell r="E2072">
            <v>8.7037340000000005E-2</v>
          </cell>
          <cell r="F2072" t="str">
            <v>Liquid</v>
          </cell>
        </row>
        <row r="2073">
          <cell r="D2073">
            <v>6</v>
          </cell>
          <cell r="E2073">
            <v>5.5785710000000001E-3</v>
          </cell>
          <cell r="F2073" t="str">
            <v>Liquid</v>
          </cell>
        </row>
        <row r="2074">
          <cell r="D2074">
            <v>6</v>
          </cell>
          <cell r="E2074">
            <v>8.7037489999999995E-2</v>
          </cell>
          <cell r="F2074" t="str">
            <v>Liquid</v>
          </cell>
        </row>
        <row r="2075">
          <cell r="D2075">
            <v>6</v>
          </cell>
          <cell r="E2075">
            <v>3.0866969999999998E-3</v>
          </cell>
          <cell r="F2075" t="str">
            <v>Liquid</v>
          </cell>
        </row>
        <row r="2076">
          <cell r="D2076">
            <v>6</v>
          </cell>
          <cell r="E2076">
            <v>3.1762239999999997E-2</v>
          </cell>
          <cell r="F2076" t="str">
            <v>Liquid</v>
          </cell>
        </row>
        <row r="2077">
          <cell r="D2077">
            <v>6</v>
          </cell>
          <cell r="E2077">
            <v>1.1237339999999999E-3</v>
          </cell>
          <cell r="F2077" t="str">
            <v>Liquid</v>
          </cell>
        </row>
        <row r="2078">
          <cell r="D2078">
            <v>6</v>
          </cell>
          <cell r="E2078">
            <v>1.363654E-3</v>
          </cell>
          <cell r="F2078" t="str">
            <v>Liquid</v>
          </cell>
        </row>
        <row r="2079">
          <cell r="D2079">
            <v>6</v>
          </cell>
          <cell r="E2079">
            <v>0.14347399999999999</v>
          </cell>
          <cell r="F2079" t="str">
            <v>Liquid</v>
          </cell>
        </row>
        <row r="2080">
          <cell r="D2080">
            <v>6</v>
          </cell>
          <cell r="E2080">
            <v>1.8656059999999999E-2</v>
          </cell>
          <cell r="F2080" t="str">
            <v>Liquid</v>
          </cell>
        </row>
        <row r="2081">
          <cell r="D2081">
            <v>6</v>
          </cell>
          <cell r="E2081">
            <v>5.4607650000000001E-2</v>
          </cell>
          <cell r="F2081" t="str">
            <v>Liquid</v>
          </cell>
        </row>
        <row r="2082">
          <cell r="D2082">
            <v>6</v>
          </cell>
          <cell r="E2082">
            <v>2.7965500000000001E-3</v>
          </cell>
          <cell r="F2082" t="str">
            <v>Liquid</v>
          </cell>
        </row>
        <row r="2083">
          <cell r="D2083">
            <v>6</v>
          </cell>
          <cell r="E2083">
            <v>2.7965490000000002E-3</v>
          </cell>
          <cell r="F2083" t="str">
            <v>Liquid</v>
          </cell>
        </row>
        <row r="2084">
          <cell r="D2084">
            <v>6</v>
          </cell>
          <cell r="E2084">
            <v>2.009411E-3</v>
          </cell>
          <cell r="F2084" t="str">
            <v>Liquid</v>
          </cell>
        </row>
        <row r="2085">
          <cell r="D2085">
            <v>6</v>
          </cell>
          <cell r="E2085">
            <v>1.1188789999999999E-3</v>
          </cell>
          <cell r="F2085" t="str">
            <v>Liquid</v>
          </cell>
        </row>
        <row r="2086">
          <cell r="D2086">
            <v>6</v>
          </cell>
          <cell r="E2086">
            <v>1.286556E-2</v>
          </cell>
          <cell r="F2086" t="str">
            <v>Liquid</v>
          </cell>
        </row>
        <row r="2087">
          <cell r="D2087">
            <v>6</v>
          </cell>
          <cell r="E2087">
            <v>1.8842290000000001E-3</v>
          </cell>
          <cell r="F2087" t="str">
            <v>Liquid</v>
          </cell>
        </row>
        <row r="2088">
          <cell r="D2088">
            <v>6</v>
          </cell>
          <cell r="E2088">
            <v>1.347521E-3</v>
          </cell>
          <cell r="F2088" t="str">
            <v>Liquid</v>
          </cell>
        </row>
        <row r="2089">
          <cell r="D2089">
            <v>6</v>
          </cell>
          <cell r="E2089">
            <v>4.1344619999999999E-2</v>
          </cell>
          <cell r="F2089" t="str">
            <v>Liquid</v>
          </cell>
        </row>
        <row r="2090">
          <cell r="D2090">
            <v>6</v>
          </cell>
          <cell r="E2090">
            <v>4.9115829999999997E-3</v>
          </cell>
          <cell r="F2090" t="str">
            <v>Liquid</v>
          </cell>
        </row>
        <row r="2091">
          <cell r="D2091">
            <v>6</v>
          </cell>
          <cell r="E2091">
            <v>6.5277150000000006E-2</v>
          </cell>
          <cell r="F2091" t="str">
            <v>Liquid</v>
          </cell>
        </row>
        <row r="2092">
          <cell r="D2092">
            <v>6</v>
          </cell>
          <cell r="E2092">
            <v>1.773454E-3</v>
          </cell>
          <cell r="F2092" t="str">
            <v>Liquid</v>
          </cell>
        </row>
        <row r="2093">
          <cell r="D2093">
            <v>6</v>
          </cell>
          <cell r="E2093">
            <v>2.4541459999999999E-3</v>
          </cell>
          <cell r="F2093" t="str">
            <v>Liquid</v>
          </cell>
        </row>
        <row r="2094">
          <cell r="D2094">
            <v>6</v>
          </cell>
          <cell r="E2094">
            <v>9.8164849999999998E-3</v>
          </cell>
          <cell r="F2094" t="str">
            <v>Liquid</v>
          </cell>
        </row>
        <row r="2095">
          <cell r="D2095">
            <v>6</v>
          </cell>
          <cell r="E2095">
            <v>1.963312E-2</v>
          </cell>
          <cell r="F2095" t="str">
            <v>Liquid</v>
          </cell>
        </row>
        <row r="2096">
          <cell r="D2096">
            <v>6</v>
          </cell>
          <cell r="E2096">
            <v>4.9082429999999996E-3</v>
          </cell>
          <cell r="F2096" t="str">
            <v>Liquid</v>
          </cell>
        </row>
        <row r="2097">
          <cell r="D2097">
            <v>6</v>
          </cell>
          <cell r="E2097">
            <v>9.816534E-3</v>
          </cell>
          <cell r="F2097" t="str">
            <v>Liquid</v>
          </cell>
        </row>
        <row r="2098">
          <cell r="D2098">
            <v>6</v>
          </cell>
          <cell r="E2098">
            <v>3.1084069999999998E-2</v>
          </cell>
          <cell r="F2098" t="str">
            <v>Liquid</v>
          </cell>
        </row>
        <row r="2099">
          <cell r="D2099">
            <v>6</v>
          </cell>
          <cell r="E2099">
            <v>3.1849109999999999E-3</v>
          </cell>
          <cell r="F2099" t="str">
            <v>Liquid</v>
          </cell>
        </row>
        <row r="2100">
          <cell r="D2100">
            <v>6</v>
          </cell>
          <cell r="E2100">
            <v>0.1335836</v>
          </cell>
          <cell r="F2100" t="str">
            <v>Liquid</v>
          </cell>
        </row>
        <row r="2101">
          <cell r="D2101">
            <v>6</v>
          </cell>
          <cell r="E2101">
            <v>5.3621389999999999E-4</v>
          </cell>
          <cell r="F2101" t="str">
            <v>Liquid</v>
          </cell>
        </row>
        <row r="2102">
          <cell r="D2102">
            <v>6</v>
          </cell>
          <cell r="E2102">
            <v>5.3072169999999997E-4</v>
          </cell>
          <cell r="F2102" t="str">
            <v>Liquid</v>
          </cell>
        </row>
        <row r="2103">
          <cell r="D2103">
            <v>6</v>
          </cell>
          <cell r="E2103">
            <v>1.241327E-3</v>
          </cell>
          <cell r="F2103" t="str">
            <v>Liquid</v>
          </cell>
        </row>
        <row r="2104">
          <cell r="D2104">
            <v>6</v>
          </cell>
          <cell r="E2104">
            <v>2.66782E-3</v>
          </cell>
          <cell r="F2104" t="str">
            <v>Liquid</v>
          </cell>
        </row>
        <row r="2105">
          <cell r="D2105">
            <v>6</v>
          </cell>
          <cell r="E2105">
            <v>1.9518000000000001E-3</v>
          </cell>
          <cell r="F2105" t="str">
            <v>Liquid</v>
          </cell>
        </row>
        <row r="2106">
          <cell r="D2106">
            <v>6</v>
          </cell>
          <cell r="E2106">
            <v>3.378345E-3</v>
          </cell>
          <cell r="F2106" t="str">
            <v>Liquid</v>
          </cell>
        </row>
        <row r="2107">
          <cell r="D2107">
            <v>6</v>
          </cell>
          <cell r="E2107">
            <v>3.5689239999999998E-3</v>
          </cell>
          <cell r="F2107" t="str">
            <v>Liquid</v>
          </cell>
        </row>
        <row r="2108">
          <cell r="D2108">
            <v>6</v>
          </cell>
          <cell r="E2108">
            <v>2.6625360000000001E-3</v>
          </cell>
          <cell r="F2108" t="str">
            <v>Liquid</v>
          </cell>
        </row>
        <row r="2109">
          <cell r="D2109">
            <v>6</v>
          </cell>
          <cell r="E2109">
            <v>3.568922E-3</v>
          </cell>
          <cell r="F2109" t="str">
            <v>Liquid</v>
          </cell>
        </row>
        <row r="2110">
          <cell r="D2110">
            <v>6</v>
          </cell>
          <cell r="E2110">
            <v>2.914448E-2</v>
          </cell>
          <cell r="F2110" t="str">
            <v>Liquid</v>
          </cell>
        </row>
        <row r="2111">
          <cell r="D2111">
            <v>6</v>
          </cell>
          <cell r="E2111">
            <v>1.639231E-2</v>
          </cell>
          <cell r="F2111" t="str">
            <v>Liquid</v>
          </cell>
        </row>
        <row r="2112">
          <cell r="D2112">
            <v>6</v>
          </cell>
          <cell r="E2112">
            <v>3.8854960000000001E-2</v>
          </cell>
          <cell r="F2112" t="str">
            <v>Liquid</v>
          </cell>
        </row>
        <row r="2113">
          <cell r="D2113">
            <v>6</v>
          </cell>
          <cell r="E2113">
            <v>2.4131909999999999E-3</v>
          </cell>
          <cell r="F2113" t="str">
            <v>Liquid</v>
          </cell>
        </row>
        <row r="2114">
          <cell r="D2114">
            <v>6</v>
          </cell>
          <cell r="E2114">
            <v>2.4767050000000001E-3</v>
          </cell>
          <cell r="F2114" t="str">
            <v>Liquid</v>
          </cell>
        </row>
        <row r="2115">
          <cell r="D2115">
            <v>6</v>
          </cell>
          <cell r="E2115">
            <v>2.4927590000000002E-3</v>
          </cell>
          <cell r="F2115" t="str">
            <v>Liquid</v>
          </cell>
        </row>
        <row r="2116">
          <cell r="D2116">
            <v>6</v>
          </cell>
          <cell r="E2116">
            <v>3.3828220000000002E-3</v>
          </cell>
          <cell r="F2116" t="str">
            <v>Liquid</v>
          </cell>
        </row>
        <row r="2117">
          <cell r="D2117">
            <v>6</v>
          </cell>
          <cell r="E2117">
            <v>3.108408E-2</v>
          </cell>
          <cell r="F2117" t="str">
            <v>Liquid</v>
          </cell>
        </row>
        <row r="2118">
          <cell r="D2118">
            <v>6</v>
          </cell>
          <cell r="E2118">
            <v>2.7366869999999998E-3</v>
          </cell>
          <cell r="F2118" t="str">
            <v>Liquid</v>
          </cell>
        </row>
        <row r="2119">
          <cell r="D2119">
            <v>6</v>
          </cell>
          <cell r="E2119">
            <v>4.1931499999999997E-3</v>
          </cell>
          <cell r="F2119" t="str">
            <v>Liquid</v>
          </cell>
        </row>
        <row r="2120">
          <cell r="D2120">
            <v>6</v>
          </cell>
          <cell r="E2120">
            <v>9.8283060000000005E-2</v>
          </cell>
          <cell r="F2120" t="str">
            <v>Liquid</v>
          </cell>
        </row>
        <row r="2121">
          <cell r="D2121">
            <v>6</v>
          </cell>
          <cell r="E2121">
            <v>1.6535250000000001E-2</v>
          </cell>
          <cell r="F2121" t="str">
            <v>Liquid</v>
          </cell>
        </row>
        <row r="2122">
          <cell r="D2122">
            <v>6</v>
          </cell>
          <cell r="E2122">
            <v>4.1605549999999998E-2</v>
          </cell>
          <cell r="F2122" t="str">
            <v>Liquid</v>
          </cell>
        </row>
        <row r="2123">
          <cell r="D2123">
            <v>6</v>
          </cell>
          <cell r="E2123">
            <v>1.7806429999999999E-3</v>
          </cell>
          <cell r="F2123" t="str">
            <v>Liquid</v>
          </cell>
        </row>
        <row r="2124">
          <cell r="D2124">
            <v>6</v>
          </cell>
          <cell r="E2124">
            <v>1.032472E-3</v>
          </cell>
          <cell r="F2124" t="str">
            <v>Liquid</v>
          </cell>
        </row>
        <row r="2125">
          <cell r="D2125">
            <v>6</v>
          </cell>
          <cell r="E2125">
            <v>2.6487020000000002E-3</v>
          </cell>
          <cell r="F2125" t="str">
            <v>Liquid</v>
          </cell>
        </row>
        <row r="2126">
          <cell r="D2126">
            <v>6</v>
          </cell>
          <cell r="E2126">
            <v>3.4890490000000001E-3</v>
          </cell>
          <cell r="F2126" t="str">
            <v>Liquid</v>
          </cell>
        </row>
        <row r="2127">
          <cell r="D2127">
            <v>6</v>
          </cell>
          <cell r="E2127">
            <v>1.8859730000000002E-2</v>
          </cell>
          <cell r="F2127" t="str">
            <v>Liquid</v>
          </cell>
        </row>
        <row r="2128">
          <cell r="D2128">
            <v>6</v>
          </cell>
          <cell r="E2128">
            <v>2.3626600000000001E-2</v>
          </cell>
          <cell r="F2128" t="str">
            <v>Liquid</v>
          </cell>
        </row>
        <row r="2129">
          <cell r="D2129">
            <v>6</v>
          </cell>
          <cell r="E2129">
            <v>2.3626600000000001E-2</v>
          </cell>
          <cell r="F2129" t="str">
            <v>Liquid</v>
          </cell>
        </row>
        <row r="2130">
          <cell r="D2130">
            <v>6</v>
          </cell>
          <cell r="E2130">
            <v>4.0181690000000003E-3</v>
          </cell>
          <cell r="F2130" t="str">
            <v>Liquid</v>
          </cell>
        </row>
        <row r="2131">
          <cell r="D2131">
            <v>6</v>
          </cell>
          <cell r="E2131">
            <v>4.0181690000000003E-3</v>
          </cell>
          <cell r="F2131" t="str">
            <v>Liquid</v>
          </cell>
        </row>
        <row r="2132">
          <cell r="D2132">
            <v>6</v>
          </cell>
          <cell r="E2132">
            <v>3.3208280000000001E-3</v>
          </cell>
          <cell r="F2132" t="str">
            <v>Liquid</v>
          </cell>
        </row>
        <row r="2133">
          <cell r="D2133">
            <v>6</v>
          </cell>
          <cell r="E2133">
            <v>3.3208280000000001E-3</v>
          </cell>
          <cell r="F2133" t="str">
            <v>Liquid</v>
          </cell>
        </row>
        <row r="2134">
          <cell r="D2134">
            <v>6</v>
          </cell>
          <cell r="E2134">
            <v>2.0855160000000001E-2</v>
          </cell>
          <cell r="F2134" t="str">
            <v>Liquid</v>
          </cell>
        </row>
        <row r="2135">
          <cell r="D2135">
            <v>6</v>
          </cell>
          <cell r="E2135">
            <v>2.0855160000000001E-2</v>
          </cell>
          <cell r="F2135" t="str">
            <v>Liquid</v>
          </cell>
        </row>
        <row r="2136">
          <cell r="D2136">
            <v>6</v>
          </cell>
          <cell r="E2136">
            <v>6.2181620000000002E-3</v>
          </cell>
          <cell r="F2136" t="str">
            <v>Liquid</v>
          </cell>
        </row>
        <row r="2137">
          <cell r="D2137">
            <v>6</v>
          </cell>
          <cell r="E2137">
            <v>6.2181620000000002E-3</v>
          </cell>
          <cell r="F2137" t="str">
            <v>Liquid</v>
          </cell>
        </row>
        <row r="2138">
          <cell r="D2138">
            <v>6</v>
          </cell>
          <cell r="E2138">
            <v>4.914191E-3</v>
          </cell>
          <cell r="F2138" t="str">
            <v>Liquid</v>
          </cell>
        </row>
        <row r="2139">
          <cell r="D2139">
            <v>6</v>
          </cell>
          <cell r="E2139">
            <v>4.914191E-3</v>
          </cell>
          <cell r="F2139" t="str">
            <v>Liquid</v>
          </cell>
        </row>
        <row r="2140">
          <cell r="D2140">
            <v>6</v>
          </cell>
          <cell r="E2140">
            <v>0.22071299999999999</v>
          </cell>
          <cell r="F2140" t="str">
            <v>Liquid</v>
          </cell>
        </row>
        <row r="2141">
          <cell r="D2141">
            <v>6</v>
          </cell>
          <cell r="E2141">
            <v>0.22071299999999999</v>
          </cell>
          <cell r="F2141" t="str">
            <v>Liquid</v>
          </cell>
        </row>
        <row r="2142">
          <cell r="D2142">
            <v>6</v>
          </cell>
          <cell r="E2142">
            <v>3.5116650000000002E-3</v>
          </cell>
          <cell r="F2142" t="str">
            <v>Liquid</v>
          </cell>
        </row>
        <row r="2143">
          <cell r="D2143">
            <v>6</v>
          </cell>
          <cell r="E2143">
            <v>3.429142E-3</v>
          </cell>
          <cell r="F2143" t="str">
            <v>Liquid</v>
          </cell>
        </row>
        <row r="2144">
          <cell r="D2144">
            <v>6</v>
          </cell>
          <cell r="E2144">
            <v>2.5861209999999998E-3</v>
          </cell>
          <cell r="F2144" t="str">
            <v>Liquid</v>
          </cell>
        </row>
        <row r="2145">
          <cell r="D2145">
            <v>6</v>
          </cell>
          <cell r="E2145">
            <v>7.4033409999999994E-2</v>
          </cell>
          <cell r="F2145" t="str">
            <v>Liquid</v>
          </cell>
        </row>
        <row r="2146">
          <cell r="D2146">
            <v>6</v>
          </cell>
          <cell r="E2146">
            <v>6.4106199999999997E-4</v>
          </cell>
          <cell r="F2146" t="str">
            <v>Liquid</v>
          </cell>
        </row>
        <row r="2147">
          <cell r="D2147">
            <v>6</v>
          </cell>
          <cell r="E2147">
            <v>4.3375050000000002E-3</v>
          </cell>
          <cell r="F2147" t="str">
            <v>Liquid</v>
          </cell>
        </row>
        <row r="2148">
          <cell r="D2148">
            <v>6</v>
          </cell>
          <cell r="E2148">
            <v>3.2342510000000001E-3</v>
          </cell>
          <cell r="F2148" t="str">
            <v>Liquid</v>
          </cell>
        </row>
        <row r="2149">
          <cell r="D2149">
            <v>6</v>
          </cell>
          <cell r="E2149">
            <v>3.0525249999999999E-3</v>
          </cell>
          <cell r="F2149" t="str">
            <v>Liquid</v>
          </cell>
        </row>
        <row r="2150">
          <cell r="D2150">
            <v>6</v>
          </cell>
          <cell r="E2150">
            <v>3.4651909999999998E-3</v>
          </cell>
          <cell r="F2150" t="str">
            <v>Liquid</v>
          </cell>
        </row>
        <row r="2151">
          <cell r="D2151">
            <v>6</v>
          </cell>
          <cell r="E2151">
            <v>3.1254770000000002E-3</v>
          </cell>
          <cell r="F2151" t="str">
            <v>Liquid</v>
          </cell>
        </row>
        <row r="2152">
          <cell r="D2152">
            <v>6</v>
          </cell>
          <cell r="E2152">
            <v>2.9035110000000001E-3</v>
          </cell>
          <cell r="F2152" t="str">
            <v>Liquid</v>
          </cell>
        </row>
        <row r="2153">
          <cell r="D2153">
            <v>6</v>
          </cell>
          <cell r="E2153">
            <v>3.1253600000000002E-3</v>
          </cell>
          <cell r="F2153" t="str">
            <v>Liquid</v>
          </cell>
        </row>
        <row r="2154">
          <cell r="D2154">
            <v>6</v>
          </cell>
          <cell r="E2154">
            <v>2.2576950000000001E-3</v>
          </cell>
          <cell r="F2154" t="str">
            <v>Liquid</v>
          </cell>
        </row>
        <row r="2155">
          <cell r="D2155">
            <v>6</v>
          </cell>
          <cell r="E2155">
            <v>3.1254339999999999E-3</v>
          </cell>
          <cell r="F2155" t="str">
            <v>Liquid</v>
          </cell>
        </row>
        <row r="2156">
          <cell r="D2156">
            <v>6</v>
          </cell>
          <cell r="E2156">
            <v>2.851765E-3</v>
          </cell>
          <cell r="F2156" t="str">
            <v>Liquid</v>
          </cell>
        </row>
        <row r="2157">
          <cell r="D2157">
            <v>6</v>
          </cell>
          <cell r="E2157">
            <v>3.1254310000000001E-3</v>
          </cell>
          <cell r="F2157" t="str">
            <v>Liquid</v>
          </cell>
        </row>
        <row r="2158">
          <cell r="D2158">
            <v>6</v>
          </cell>
          <cell r="E2158">
            <v>2.2061810000000002E-3</v>
          </cell>
          <cell r="F2158" t="str">
            <v>Liquid</v>
          </cell>
        </row>
        <row r="2159">
          <cell r="D2159">
            <v>6</v>
          </cell>
          <cell r="E2159">
            <v>7.2823020000000003E-4</v>
          </cell>
          <cell r="F2159" t="str">
            <v>Liquid</v>
          </cell>
        </row>
        <row r="2160">
          <cell r="D2160">
            <v>6</v>
          </cell>
          <cell r="E2160">
            <v>3.3542070000000001E-3</v>
          </cell>
          <cell r="F2160" t="str">
            <v>Liquid</v>
          </cell>
        </row>
        <row r="2161">
          <cell r="D2161">
            <v>6</v>
          </cell>
          <cell r="E2161">
            <v>1.9976870000000002E-3</v>
          </cell>
          <cell r="F2161" t="str">
            <v>Liquid</v>
          </cell>
        </row>
        <row r="2162">
          <cell r="D2162">
            <v>6</v>
          </cell>
          <cell r="E2162">
            <v>3.1366139999999998E-3</v>
          </cell>
          <cell r="F2162" t="str">
            <v>Liquid</v>
          </cell>
        </row>
        <row r="2163">
          <cell r="D2163">
            <v>6</v>
          </cell>
          <cell r="E2163">
            <v>3.046483E-3</v>
          </cell>
          <cell r="F2163" t="str">
            <v>Liquid</v>
          </cell>
        </row>
        <row r="2164">
          <cell r="D2164">
            <v>6</v>
          </cell>
          <cell r="E2164">
            <v>6.3352260000000002E-3</v>
          </cell>
          <cell r="F2164" t="str">
            <v>Liquid</v>
          </cell>
        </row>
        <row r="2165">
          <cell r="D2165">
            <v>6</v>
          </cell>
          <cell r="E2165">
            <v>3.085052E-3</v>
          </cell>
          <cell r="F2165" t="str">
            <v>Liquid</v>
          </cell>
        </row>
        <row r="2166">
          <cell r="D2166">
            <v>6</v>
          </cell>
          <cell r="E2166">
            <v>1.1033429999999999E-3</v>
          </cell>
          <cell r="F2166" t="str">
            <v>Liquid</v>
          </cell>
        </row>
        <row r="2167">
          <cell r="D2167">
            <v>6</v>
          </cell>
          <cell r="E2167">
            <v>2.7576699999999998E-3</v>
          </cell>
          <cell r="F2167" t="str">
            <v>Liquid</v>
          </cell>
        </row>
        <row r="2168">
          <cell r="D2168">
            <v>6</v>
          </cell>
          <cell r="E2168">
            <v>4.9304819999999999E-3</v>
          </cell>
          <cell r="F2168" t="str">
            <v>Liquid</v>
          </cell>
        </row>
        <row r="2169">
          <cell r="D2169">
            <v>6</v>
          </cell>
          <cell r="E2169">
            <v>2.268469E-2</v>
          </cell>
          <cell r="F2169" t="str">
            <v>Liquid</v>
          </cell>
        </row>
        <row r="2170">
          <cell r="D2170">
            <v>6</v>
          </cell>
          <cell r="E2170">
            <v>7.0835410000000005E-4</v>
          </cell>
          <cell r="F2170" t="str">
            <v>Liquid</v>
          </cell>
        </row>
        <row r="2171">
          <cell r="D2171">
            <v>6</v>
          </cell>
          <cell r="E2171">
            <v>2.6951900000000001E-3</v>
          </cell>
          <cell r="F2171" t="str">
            <v>Liquid</v>
          </cell>
        </row>
        <row r="2172">
          <cell r="D2172">
            <v>6</v>
          </cell>
          <cell r="E2172">
            <v>1.3014629999999999E-2</v>
          </cell>
          <cell r="F2172" t="str">
            <v>Liquid</v>
          </cell>
        </row>
        <row r="2173">
          <cell r="D2173">
            <v>6</v>
          </cell>
          <cell r="E2173">
            <v>3.095057E-3</v>
          </cell>
          <cell r="F2173" t="str">
            <v>Liquid</v>
          </cell>
        </row>
        <row r="2174">
          <cell r="D2174">
            <v>6</v>
          </cell>
          <cell r="E2174">
            <v>1.205001E-2</v>
          </cell>
          <cell r="F2174" t="str">
            <v>Liquid</v>
          </cell>
        </row>
        <row r="2175">
          <cell r="D2175">
            <v>6</v>
          </cell>
          <cell r="E2175">
            <v>1.540745E-2</v>
          </cell>
          <cell r="F2175" t="str">
            <v>Liquid</v>
          </cell>
        </row>
        <row r="2176">
          <cell r="D2176">
            <v>6</v>
          </cell>
          <cell r="E2176">
            <v>4.070443E-2</v>
          </cell>
          <cell r="F2176" t="str">
            <v>Liquid</v>
          </cell>
        </row>
        <row r="2177">
          <cell r="D2177">
            <v>6</v>
          </cell>
          <cell r="E2177">
            <v>1.9120540000000001E-3</v>
          </cell>
          <cell r="F2177" t="str">
            <v>Liquid</v>
          </cell>
        </row>
        <row r="2178">
          <cell r="D2178">
            <v>6</v>
          </cell>
          <cell r="E2178">
            <v>9.4254330000000004E-3</v>
          </cell>
          <cell r="F2178" t="str">
            <v>Liquid</v>
          </cell>
        </row>
        <row r="2179">
          <cell r="D2179">
            <v>6</v>
          </cell>
          <cell r="E2179">
            <v>8.8704140000000001E-3</v>
          </cell>
          <cell r="F2179" t="str">
            <v>Liquid</v>
          </cell>
        </row>
        <row r="2180">
          <cell r="D2180">
            <v>6</v>
          </cell>
          <cell r="E2180">
            <v>1.142163E-2</v>
          </cell>
          <cell r="F2180" t="str">
            <v>Liquid</v>
          </cell>
        </row>
        <row r="2181">
          <cell r="D2181">
            <v>6</v>
          </cell>
          <cell r="E2181">
            <v>1.123299E-2</v>
          </cell>
          <cell r="F2181" t="str">
            <v>Liquid</v>
          </cell>
        </row>
        <row r="2182">
          <cell r="D2182">
            <v>6</v>
          </cell>
          <cell r="E2182">
            <v>9.9787360000000002E-4</v>
          </cell>
          <cell r="F2182" t="str">
            <v>Liquid</v>
          </cell>
        </row>
        <row r="2183">
          <cell r="D2183">
            <v>6</v>
          </cell>
          <cell r="E2183">
            <v>2.4787780000000001E-3</v>
          </cell>
          <cell r="F2183" t="str">
            <v>Liquid</v>
          </cell>
        </row>
        <row r="2184">
          <cell r="D2184">
            <v>6</v>
          </cell>
          <cell r="E2184">
            <v>1.929563E-3</v>
          </cell>
          <cell r="F2184" t="str">
            <v>Liquid</v>
          </cell>
        </row>
        <row r="2185">
          <cell r="D2185">
            <v>6</v>
          </cell>
          <cell r="E2185">
            <v>2.5427380000000001E-3</v>
          </cell>
          <cell r="F2185" t="str">
            <v>Liquid</v>
          </cell>
        </row>
        <row r="2186">
          <cell r="D2186">
            <v>6</v>
          </cell>
          <cell r="E2186">
            <v>1.0343100000000001E-3</v>
          </cell>
          <cell r="F2186" t="str">
            <v>Liquid</v>
          </cell>
        </row>
        <row r="2187">
          <cell r="D2187">
            <v>6</v>
          </cell>
          <cell r="E2187">
            <v>3.232094E-3</v>
          </cell>
          <cell r="F2187" t="str">
            <v>Liquid</v>
          </cell>
        </row>
        <row r="2188">
          <cell r="D2188">
            <v>6</v>
          </cell>
          <cell r="E2188">
            <v>7.7566839999999998E-3</v>
          </cell>
          <cell r="F2188" t="str">
            <v>Liquid</v>
          </cell>
        </row>
        <row r="2189">
          <cell r="D2189">
            <v>6</v>
          </cell>
          <cell r="E2189">
            <v>2.585571E-3</v>
          </cell>
          <cell r="F2189" t="str">
            <v>Liquid</v>
          </cell>
        </row>
        <row r="2190">
          <cell r="D2190">
            <v>6</v>
          </cell>
          <cell r="E2190">
            <v>2.9903329999999999E-2</v>
          </cell>
          <cell r="F2190" t="str">
            <v>Liquid</v>
          </cell>
        </row>
        <row r="2191">
          <cell r="D2191">
            <v>6</v>
          </cell>
          <cell r="E2191">
            <v>2.4100850000000002E-3</v>
          </cell>
          <cell r="F2191" t="str">
            <v>Liquid</v>
          </cell>
        </row>
        <row r="2192">
          <cell r="D2192">
            <v>6</v>
          </cell>
          <cell r="E2192">
            <v>4.9038440000000001E-3</v>
          </cell>
          <cell r="F2192" t="str">
            <v>Liquid</v>
          </cell>
        </row>
        <row r="2193">
          <cell r="D2193">
            <v>6</v>
          </cell>
          <cell r="E2193">
            <v>3.7126170000000001E-3</v>
          </cell>
          <cell r="F2193" t="str">
            <v>Liquid</v>
          </cell>
        </row>
        <row r="2194">
          <cell r="D2194">
            <v>6</v>
          </cell>
          <cell r="E2194">
            <v>1.0148710000000001E-3</v>
          </cell>
          <cell r="F2194" t="str">
            <v>Liquid</v>
          </cell>
        </row>
        <row r="2195">
          <cell r="D2195">
            <v>6</v>
          </cell>
          <cell r="E2195">
            <v>3.537442E-3</v>
          </cell>
          <cell r="F2195" t="str">
            <v>Liquid</v>
          </cell>
        </row>
        <row r="2196">
          <cell r="D2196">
            <v>6</v>
          </cell>
          <cell r="E2196">
            <v>1.320866E-3</v>
          </cell>
          <cell r="F2196" t="str">
            <v>Liquid</v>
          </cell>
        </row>
        <row r="2197">
          <cell r="D2197">
            <v>6</v>
          </cell>
          <cell r="E2197">
            <v>3.776143E-3</v>
          </cell>
          <cell r="F2197" t="str">
            <v>Liquid</v>
          </cell>
        </row>
        <row r="2198">
          <cell r="D2198">
            <v>6</v>
          </cell>
          <cell r="E2198">
            <v>7.9570520000000003E-4</v>
          </cell>
          <cell r="F2198" t="str">
            <v>Liquid</v>
          </cell>
        </row>
        <row r="2199">
          <cell r="D2199">
            <v>6</v>
          </cell>
          <cell r="E2199">
            <v>2.5584290000000001E-3</v>
          </cell>
          <cell r="F2199" t="str">
            <v>Liquid</v>
          </cell>
        </row>
        <row r="2200">
          <cell r="D2200">
            <v>6</v>
          </cell>
          <cell r="E2200">
            <v>6.9127490000000002E-3</v>
          </cell>
          <cell r="F2200" t="str">
            <v>Liquid</v>
          </cell>
        </row>
        <row r="2201">
          <cell r="D2201">
            <v>6</v>
          </cell>
          <cell r="E2201">
            <v>1.1422439999999999E-3</v>
          </cell>
          <cell r="F2201" t="str">
            <v>Liquid</v>
          </cell>
        </row>
        <row r="2202">
          <cell r="D2202">
            <v>6</v>
          </cell>
          <cell r="E2202">
            <v>9.4870160000000002E-5</v>
          </cell>
          <cell r="F2202" t="str">
            <v>Liquid</v>
          </cell>
        </row>
        <row r="2203">
          <cell r="D2203">
            <v>6</v>
          </cell>
          <cell r="E2203">
            <v>1.3644669999999999E-2</v>
          </cell>
          <cell r="F2203" t="str">
            <v>Liquid</v>
          </cell>
        </row>
        <row r="2204">
          <cell r="D2204">
            <v>6</v>
          </cell>
          <cell r="E2204">
            <v>2.4905170000000001E-2</v>
          </cell>
          <cell r="F2204" t="str">
            <v>Liquid</v>
          </cell>
        </row>
        <row r="2205">
          <cell r="D2205">
            <v>6</v>
          </cell>
          <cell r="E2205">
            <v>9.2346560000000004E-4</v>
          </cell>
          <cell r="F2205" t="str">
            <v>Liquid</v>
          </cell>
        </row>
        <row r="2206">
          <cell r="D2206">
            <v>6</v>
          </cell>
          <cell r="E2206">
            <v>7.0731850000000003E-4</v>
          </cell>
          <cell r="F2206" t="str">
            <v>Liquid</v>
          </cell>
        </row>
        <row r="2207">
          <cell r="D2207">
            <v>6</v>
          </cell>
          <cell r="E2207">
            <v>2.3634889999999999E-3</v>
          </cell>
          <cell r="F2207" t="str">
            <v>Liquid</v>
          </cell>
        </row>
        <row r="2208">
          <cell r="D2208">
            <v>6</v>
          </cell>
          <cell r="E2208">
            <v>4.9103890000000005E-4</v>
          </cell>
          <cell r="F2208" t="str">
            <v>Liquid</v>
          </cell>
        </row>
        <row r="2209">
          <cell r="D2209">
            <v>6</v>
          </cell>
          <cell r="E2209">
            <v>2.147342E-3</v>
          </cell>
          <cell r="F2209" t="str">
            <v>Liquid</v>
          </cell>
        </row>
        <row r="2210">
          <cell r="D2210">
            <v>6</v>
          </cell>
          <cell r="E2210">
            <v>3.8034560000000002E-3</v>
          </cell>
          <cell r="F2210" t="str">
            <v>Liquid</v>
          </cell>
        </row>
        <row r="2211">
          <cell r="D2211">
            <v>6</v>
          </cell>
          <cell r="E2211">
            <v>5.5183150000000002E-3</v>
          </cell>
          <cell r="F2211" t="str">
            <v>Liquid</v>
          </cell>
        </row>
        <row r="2212">
          <cell r="D2212">
            <v>6</v>
          </cell>
          <cell r="E2212">
            <v>2.2377450000000002E-3</v>
          </cell>
          <cell r="F2212" t="str">
            <v>Liquid</v>
          </cell>
        </row>
        <row r="2213">
          <cell r="D2213">
            <v>6</v>
          </cell>
          <cell r="E2213">
            <v>3.5273209999999999E-3</v>
          </cell>
          <cell r="F2213" t="str">
            <v>Liquid</v>
          </cell>
        </row>
        <row r="2214">
          <cell r="D2214">
            <v>6</v>
          </cell>
          <cell r="E2214">
            <v>2.098702E-3</v>
          </cell>
          <cell r="F2214" t="str">
            <v>Liquid</v>
          </cell>
        </row>
        <row r="2215">
          <cell r="D2215">
            <v>6</v>
          </cell>
          <cell r="E2215">
            <v>2.784039E-2</v>
          </cell>
          <cell r="F2215" t="str">
            <v>Liquid</v>
          </cell>
        </row>
        <row r="2216">
          <cell r="D2216">
            <v>6</v>
          </cell>
          <cell r="E2216">
            <v>4.0818109999999998E-2</v>
          </cell>
          <cell r="F2216" t="str">
            <v>Liquid</v>
          </cell>
        </row>
        <row r="2217">
          <cell r="D2217">
            <v>6</v>
          </cell>
          <cell r="E2217">
            <v>3.5927709999999998E-3</v>
          </cell>
          <cell r="F2217" t="str">
            <v>Liquid</v>
          </cell>
        </row>
        <row r="2218">
          <cell r="D2218">
            <v>6</v>
          </cell>
          <cell r="E2218">
            <v>1.140803E-4</v>
          </cell>
          <cell r="F2218" t="str">
            <v>Liquid</v>
          </cell>
        </row>
        <row r="2219">
          <cell r="D2219">
            <v>6</v>
          </cell>
          <cell r="E2219">
            <v>2.8308420000000001E-3</v>
          </cell>
          <cell r="F2219" t="str">
            <v>Liquid</v>
          </cell>
        </row>
        <row r="2220">
          <cell r="D2220">
            <v>6</v>
          </cell>
          <cell r="E2220">
            <v>3.3644500000000002E-3</v>
          </cell>
          <cell r="F2220" t="str">
            <v>Liquid</v>
          </cell>
        </row>
        <row r="2221">
          <cell r="D2221">
            <v>6</v>
          </cell>
          <cell r="E2221">
            <v>4.103471E-3</v>
          </cell>
          <cell r="F2221" t="str">
            <v>Liquid</v>
          </cell>
        </row>
        <row r="2222">
          <cell r="D2222">
            <v>6</v>
          </cell>
          <cell r="E2222">
            <v>2.0245850000000002E-3</v>
          </cell>
          <cell r="F2222" t="str">
            <v>Liquid</v>
          </cell>
        </row>
        <row r="2223">
          <cell r="D2223">
            <v>6</v>
          </cell>
          <cell r="E2223">
            <v>1.1756290000000001E-3</v>
          </cell>
          <cell r="F2223" t="str">
            <v>Liquid</v>
          </cell>
        </row>
        <row r="2224">
          <cell r="D2224">
            <v>6</v>
          </cell>
          <cell r="E2224">
            <v>2.5617539999999999E-3</v>
          </cell>
          <cell r="F2224" t="str">
            <v>Liquid</v>
          </cell>
        </row>
        <row r="2225">
          <cell r="D2225">
            <v>6</v>
          </cell>
          <cell r="E2225">
            <v>1.074311E-2</v>
          </cell>
          <cell r="F2225" t="str">
            <v>Liquid</v>
          </cell>
        </row>
        <row r="2226">
          <cell r="D2226">
            <v>6</v>
          </cell>
          <cell r="E2226">
            <v>5.1776859999999999E-3</v>
          </cell>
          <cell r="F2226" t="str">
            <v>Liquid</v>
          </cell>
        </row>
        <row r="2227">
          <cell r="D2227">
            <v>6</v>
          </cell>
          <cell r="E2227">
            <v>3.7899679999999999E-3</v>
          </cell>
          <cell r="F2227" t="str">
            <v>Liquid</v>
          </cell>
        </row>
        <row r="2228">
          <cell r="D2228">
            <v>6</v>
          </cell>
          <cell r="E2228">
            <v>1.3756549999999999E-3</v>
          </cell>
          <cell r="F2228" t="str">
            <v>Liquid</v>
          </cell>
        </row>
        <row r="2229">
          <cell r="D2229">
            <v>6</v>
          </cell>
          <cell r="E2229">
            <v>4.920125E-3</v>
          </cell>
          <cell r="F2229" t="str">
            <v>Liquid</v>
          </cell>
        </row>
        <row r="2230">
          <cell r="D2230">
            <v>6</v>
          </cell>
          <cell r="E2230">
            <v>1.135883E-2</v>
          </cell>
          <cell r="F2230" t="str">
            <v>Liquid</v>
          </cell>
        </row>
        <row r="2231">
          <cell r="D2231">
            <v>6</v>
          </cell>
          <cell r="E2231">
            <v>3.246891E-3</v>
          </cell>
          <cell r="F2231" t="str">
            <v>Liquid</v>
          </cell>
        </row>
        <row r="2232">
          <cell r="D2232">
            <v>6</v>
          </cell>
          <cell r="E2232">
            <v>4.9232709999999999E-3</v>
          </cell>
          <cell r="F2232" t="str">
            <v>Liquid</v>
          </cell>
        </row>
        <row r="2233">
          <cell r="D2233">
            <v>6</v>
          </cell>
          <cell r="E2233">
            <v>2.461562E-3</v>
          </cell>
          <cell r="F2233" t="str">
            <v>Liquid</v>
          </cell>
        </row>
        <row r="2234">
          <cell r="D2234">
            <v>6</v>
          </cell>
          <cell r="E2234">
            <v>0.14366519999999999</v>
          </cell>
          <cell r="F2234" t="str">
            <v>Liquid</v>
          </cell>
        </row>
        <row r="2235">
          <cell r="D2235">
            <v>6</v>
          </cell>
          <cell r="E2235">
            <v>4.4033320000000003E-3</v>
          </cell>
          <cell r="F2235" t="str">
            <v>Liquid</v>
          </cell>
        </row>
        <row r="2236">
          <cell r="D2236">
            <v>6</v>
          </cell>
          <cell r="E2236">
            <v>2.9630310000000001E-3</v>
          </cell>
          <cell r="F2236" t="str">
            <v>Liquid</v>
          </cell>
        </row>
        <row r="2237">
          <cell r="D2237">
            <v>6</v>
          </cell>
          <cell r="E2237">
            <v>5.2631129999999998E-3</v>
          </cell>
          <cell r="F2237" t="str">
            <v>Liquid</v>
          </cell>
        </row>
        <row r="2238">
          <cell r="D2238">
            <v>6</v>
          </cell>
          <cell r="E2238">
            <v>2.688878E-3</v>
          </cell>
          <cell r="F2238" t="str">
            <v>Liquid</v>
          </cell>
        </row>
        <row r="2239">
          <cell r="D2239">
            <v>6</v>
          </cell>
          <cell r="E2239">
            <v>3.153402E-3</v>
          </cell>
          <cell r="F2239" t="str">
            <v>Liquid</v>
          </cell>
        </row>
        <row r="2240">
          <cell r="D2240">
            <v>6</v>
          </cell>
          <cell r="E2240">
            <v>3.7296690000000001E-3</v>
          </cell>
          <cell r="F2240" t="str">
            <v>Liquid</v>
          </cell>
        </row>
        <row r="2241">
          <cell r="D2241">
            <v>6</v>
          </cell>
          <cell r="E2241">
            <v>1.3108029999999999E-3</v>
          </cell>
          <cell r="F2241" t="str">
            <v>Liquid</v>
          </cell>
        </row>
        <row r="2242">
          <cell r="D2242">
            <v>6</v>
          </cell>
          <cell r="E2242">
            <v>1.88703E-3</v>
          </cell>
          <cell r="F2242" t="str">
            <v>Liquid</v>
          </cell>
        </row>
        <row r="2243">
          <cell r="D2243">
            <v>6</v>
          </cell>
          <cell r="E2243">
            <v>2.4632569999999999E-3</v>
          </cell>
          <cell r="F2243" t="str">
            <v>Liquid</v>
          </cell>
        </row>
        <row r="2244">
          <cell r="D2244">
            <v>6</v>
          </cell>
          <cell r="E2244">
            <v>4.364321E-3</v>
          </cell>
          <cell r="F2244" t="str">
            <v>Liquid</v>
          </cell>
        </row>
        <row r="2245">
          <cell r="D2245">
            <v>6</v>
          </cell>
          <cell r="E2245">
            <v>4.530065E-4</v>
          </cell>
          <cell r="F2245" t="str">
            <v>Liquid</v>
          </cell>
        </row>
        <row r="2246">
          <cell r="D2246">
            <v>6</v>
          </cell>
          <cell r="E2246">
            <v>6.1163690000000002E-4</v>
          </cell>
          <cell r="F2246" t="str">
            <v>Liquid</v>
          </cell>
        </row>
        <row r="2247">
          <cell r="D2247">
            <v>6</v>
          </cell>
          <cell r="E2247">
            <v>4.7827020000000003E-5</v>
          </cell>
          <cell r="F2247" t="str">
            <v>Liquid</v>
          </cell>
        </row>
        <row r="2248">
          <cell r="D2248">
            <v>6</v>
          </cell>
          <cell r="E2248">
            <v>1.405061E-3</v>
          </cell>
          <cell r="F2248" t="str">
            <v>Liquid</v>
          </cell>
        </row>
        <row r="2249">
          <cell r="D2249">
            <v>6</v>
          </cell>
          <cell r="E2249">
            <v>1.274749E-2</v>
          </cell>
          <cell r="F2249" t="str">
            <v>Liquid</v>
          </cell>
        </row>
        <row r="2250">
          <cell r="D2250">
            <v>6</v>
          </cell>
          <cell r="E2250">
            <v>3.6062160000000003E-2</v>
          </cell>
          <cell r="F2250" t="str">
            <v>Liquid</v>
          </cell>
        </row>
        <row r="2251">
          <cell r="D2251">
            <v>6</v>
          </cell>
          <cell r="E2251">
            <v>1.660038E-3</v>
          </cell>
          <cell r="F2251" t="str">
            <v>Liquid</v>
          </cell>
        </row>
        <row r="2252">
          <cell r="D2252">
            <v>6</v>
          </cell>
          <cell r="E2252">
            <v>8.8368240000000001E-3</v>
          </cell>
          <cell r="F2252" t="str">
            <v>Liquid</v>
          </cell>
        </row>
        <row r="2253">
          <cell r="D2253">
            <v>6</v>
          </cell>
          <cell r="E2253">
            <v>2.5147339999999998E-3</v>
          </cell>
          <cell r="F2253" t="str">
            <v>Liquid</v>
          </cell>
        </row>
        <row r="2254">
          <cell r="D2254">
            <v>6</v>
          </cell>
          <cell r="E2254">
            <v>4.0030630000000003E-3</v>
          </cell>
          <cell r="F2254" t="str">
            <v>Liquid</v>
          </cell>
        </row>
        <row r="2255">
          <cell r="D2255">
            <v>6</v>
          </cell>
          <cell r="E2255">
            <v>2.3022429999999998E-3</v>
          </cell>
          <cell r="F2255" t="str">
            <v>Liquid</v>
          </cell>
        </row>
        <row r="2256">
          <cell r="D2256">
            <v>6</v>
          </cell>
          <cell r="E2256">
            <v>3.8580919999999998E-2</v>
          </cell>
          <cell r="F2256" t="str">
            <v>Liquid</v>
          </cell>
        </row>
        <row r="2257">
          <cell r="D2257">
            <v>6</v>
          </cell>
          <cell r="E2257">
            <v>1.68962E-2</v>
          </cell>
          <cell r="F2257" t="str">
            <v>Liquid</v>
          </cell>
        </row>
        <row r="2258">
          <cell r="D2258">
            <v>6</v>
          </cell>
          <cell r="E2258">
            <v>3.6435359999999997E-4</v>
          </cell>
          <cell r="F2258" t="str">
            <v>Liquid</v>
          </cell>
        </row>
        <row r="2259">
          <cell r="D2259">
            <v>6</v>
          </cell>
          <cell r="E2259">
            <v>6.0703859999999997E-3</v>
          </cell>
          <cell r="F2259" t="str">
            <v>Liquid</v>
          </cell>
        </row>
        <row r="2260">
          <cell r="D2260">
            <v>6</v>
          </cell>
          <cell r="E2260">
            <v>3.472611E-3</v>
          </cell>
          <cell r="F2260" t="str">
            <v>Liquid</v>
          </cell>
        </row>
        <row r="2261">
          <cell r="D2261">
            <v>6</v>
          </cell>
          <cell r="E2261">
            <v>3.1553179999999998E-3</v>
          </cell>
          <cell r="F2261" t="str">
            <v>Liquid</v>
          </cell>
        </row>
        <row r="2262">
          <cell r="D2262">
            <v>6</v>
          </cell>
          <cell r="E2262">
            <v>3.4726309999999999E-3</v>
          </cell>
          <cell r="F2262" t="str">
            <v>Liquid</v>
          </cell>
        </row>
        <row r="2263">
          <cell r="D2263">
            <v>6</v>
          </cell>
          <cell r="E2263">
            <v>3.4725530000000002E-3</v>
          </cell>
          <cell r="F2263" t="str">
            <v>Liquid</v>
          </cell>
        </row>
        <row r="2264">
          <cell r="D2264">
            <v>6</v>
          </cell>
          <cell r="E2264">
            <v>3.4726290000000001E-3</v>
          </cell>
          <cell r="F2264" t="str">
            <v>Liquid</v>
          </cell>
        </row>
        <row r="2265">
          <cell r="D2265">
            <v>6</v>
          </cell>
          <cell r="E2265">
            <v>2.6291489999999999E-3</v>
          </cell>
          <cell r="F2265" t="str">
            <v>Liquid</v>
          </cell>
        </row>
        <row r="2266">
          <cell r="D2266">
            <v>6</v>
          </cell>
          <cell r="E2266">
            <v>7.3635089999999996E-4</v>
          </cell>
          <cell r="F2266" t="str">
            <v>Liquid</v>
          </cell>
        </row>
        <row r="2267">
          <cell r="D2267">
            <v>6</v>
          </cell>
          <cell r="E2267">
            <v>1.5884549999999999E-3</v>
          </cell>
          <cell r="F2267" t="str">
            <v>Liquid</v>
          </cell>
        </row>
        <row r="2268">
          <cell r="D2268">
            <v>6</v>
          </cell>
          <cell r="E2268">
            <v>1.0060259999999999E-3</v>
          </cell>
          <cell r="F2268" t="str">
            <v>Liquid</v>
          </cell>
        </row>
        <row r="2269">
          <cell r="D2269">
            <v>6</v>
          </cell>
          <cell r="E2269">
            <v>4.2359759999999999E-4</v>
          </cell>
          <cell r="F2269" t="str">
            <v>Liquid</v>
          </cell>
        </row>
        <row r="2270">
          <cell r="D2270">
            <v>6</v>
          </cell>
          <cell r="E2270">
            <v>1.275492E-3</v>
          </cell>
          <cell r="F2270" t="str">
            <v>Liquid</v>
          </cell>
        </row>
        <row r="2271">
          <cell r="D2271">
            <v>6</v>
          </cell>
          <cell r="E2271">
            <v>6.9314249999999995E-4</v>
          </cell>
          <cell r="F2271" t="str">
            <v>Liquid</v>
          </cell>
        </row>
        <row r="2272">
          <cell r="D2272">
            <v>6</v>
          </cell>
          <cell r="E2272">
            <v>1.1058470000000001E-4</v>
          </cell>
          <cell r="F2272" t="str">
            <v>Liquid</v>
          </cell>
        </row>
        <row r="2273">
          <cell r="D2273">
            <v>6</v>
          </cell>
          <cell r="E2273">
            <v>2.8024439999999999E-3</v>
          </cell>
          <cell r="F2273" t="str">
            <v>Liquid</v>
          </cell>
        </row>
        <row r="2274">
          <cell r="D2274">
            <v>6</v>
          </cell>
          <cell r="E2274">
            <v>2.9322279999999998E-3</v>
          </cell>
          <cell r="F2274" t="str">
            <v>Liquid</v>
          </cell>
        </row>
        <row r="2275">
          <cell r="D2275">
            <v>6</v>
          </cell>
          <cell r="E2275">
            <v>3.745436E-3</v>
          </cell>
          <cell r="F2275" t="str">
            <v>Liquid</v>
          </cell>
        </row>
        <row r="2276">
          <cell r="D2276">
            <v>6</v>
          </cell>
          <cell r="E2276">
            <v>3.7454659999999998E-3</v>
          </cell>
          <cell r="F2276" t="str">
            <v>Liquid</v>
          </cell>
        </row>
        <row r="2277">
          <cell r="D2277">
            <v>6</v>
          </cell>
          <cell r="E2277">
            <v>1.759177E-2</v>
          </cell>
          <cell r="F2277" t="str">
            <v>Liquid</v>
          </cell>
        </row>
        <row r="2278">
          <cell r="D2278">
            <v>6</v>
          </cell>
          <cell r="E2278">
            <v>3.1179649999999999E-4</v>
          </cell>
          <cell r="F2278" t="str">
            <v>Liquid</v>
          </cell>
        </row>
        <row r="2279">
          <cell r="D2279">
            <v>6</v>
          </cell>
          <cell r="E2279">
            <v>3.1893690000000002E-2</v>
          </cell>
          <cell r="F2279" t="str">
            <v>Liquid</v>
          </cell>
        </row>
        <row r="2280">
          <cell r="D2280">
            <v>6</v>
          </cell>
          <cell r="E2280">
            <v>2.4212790000000001E-2</v>
          </cell>
          <cell r="F2280" t="str">
            <v>Liquid</v>
          </cell>
        </row>
        <row r="2281">
          <cell r="D2281">
            <v>6</v>
          </cell>
          <cell r="E2281">
            <v>2.8912040000000001E-3</v>
          </cell>
          <cell r="F2281" t="str">
            <v>Liquid</v>
          </cell>
        </row>
        <row r="2282">
          <cell r="D2282">
            <v>6</v>
          </cell>
          <cell r="E2282">
            <v>2.4530960000000001E-3</v>
          </cell>
          <cell r="F2282" t="str">
            <v>Liquid</v>
          </cell>
        </row>
        <row r="2283">
          <cell r="D2283">
            <v>6</v>
          </cell>
          <cell r="E2283">
            <v>7.3581499999999999E-3</v>
          </cell>
          <cell r="F2283" t="str">
            <v>Liquid</v>
          </cell>
        </row>
        <row r="2284">
          <cell r="D2284">
            <v>6</v>
          </cell>
          <cell r="E2284">
            <v>7.3575469999999999E-3</v>
          </cell>
          <cell r="F2284" t="str">
            <v>Liquid</v>
          </cell>
        </row>
        <row r="2285">
          <cell r="D2285">
            <v>6</v>
          </cell>
          <cell r="E2285">
            <v>2.6611529999999999E-3</v>
          </cell>
          <cell r="F2285" t="str">
            <v>Liquid</v>
          </cell>
        </row>
        <row r="2286">
          <cell r="D2286">
            <v>6</v>
          </cell>
          <cell r="E2286">
            <v>1.9427310000000001E-3</v>
          </cell>
          <cell r="F2286" t="str">
            <v>Liquid</v>
          </cell>
        </row>
        <row r="2287">
          <cell r="D2287">
            <v>6</v>
          </cell>
          <cell r="E2287">
            <v>2.5209469999999999E-3</v>
          </cell>
          <cell r="F2287" t="str">
            <v>Liquid</v>
          </cell>
        </row>
        <row r="2288">
          <cell r="D2288">
            <v>6</v>
          </cell>
          <cell r="E2288">
            <v>3.4301440000000002E-2</v>
          </cell>
          <cell r="F2288" t="str">
            <v>Liquid</v>
          </cell>
        </row>
        <row r="2289">
          <cell r="D2289">
            <v>6</v>
          </cell>
          <cell r="E2289">
            <v>1.377308E-3</v>
          </cell>
          <cell r="F2289" t="str">
            <v>Liquid</v>
          </cell>
        </row>
        <row r="2290">
          <cell r="D2290">
            <v>6</v>
          </cell>
          <cell r="E2290">
            <v>2.664896E-4</v>
          </cell>
          <cell r="F2290" t="str">
            <v>Liquid</v>
          </cell>
        </row>
        <row r="2291">
          <cell r="D2291">
            <v>6</v>
          </cell>
          <cell r="E2291">
            <v>1.097811E-3</v>
          </cell>
          <cell r="F2291" t="str">
            <v>Liquid</v>
          </cell>
        </row>
        <row r="2292">
          <cell r="D2292">
            <v>6</v>
          </cell>
          <cell r="E2292">
            <v>1.3618160000000001E-3</v>
          </cell>
          <cell r="F2292" t="str">
            <v>Liquid</v>
          </cell>
        </row>
        <row r="2293">
          <cell r="D2293">
            <v>6</v>
          </cell>
          <cell r="E2293">
            <v>2.4727450000000002E-3</v>
          </cell>
          <cell r="F2293" t="str">
            <v>Liquid</v>
          </cell>
        </row>
        <row r="2294">
          <cell r="D2294">
            <v>6</v>
          </cell>
          <cell r="E2294">
            <v>2.1269069999999999E-3</v>
          </cell>
          <cell r="F2294" t="str">
            <v>Liquid</v>
          </cell>
        </row>
        <row r="2295">
          <cell r="D2295">
            <v>6</v>
          </cell>
          <cell r="E2295">
            <v>1.780991E-3</v>
          </cell>
          <cell r="F2295" t="str">
            <v>Liquid</v>
          </cell>
        </row>
        <row r="2296">
          <cell r="D2296">
            <v>6</v>
          </cell>
          <cell r="E2296">
            <v>3.2377180000000001E-3</v>
          </cell>
          <cell r="F2296" t="str">
            <v>Liquid</v>
          </cell>
        </row>
        <row r="2297">
          <cell r="D2297">
            <v>6</v>
          </cell>
          <cell r="E2297">
            <v>5.2016789999999999E-3</v>
          </cell>
          <cell r="F2297" t="str">
            <v>Liquid</v>
          </cell>
        </row>
        <row r="2298">
          <cell r="D2298">
            <v>6</v>
          </cell>
          <cell r="E2298">
            <v>9.4736799999999997E-4</v>
          </cell>
          <cell r="F2298" t="str">
            <v>Liquid</v>
          </cell>
        </row>
        <row r="2299">
          <cell r="D2299">
            <v>6</v>
          </cell>
          <cell r="E2299">
            <v>1.2464399999999999E-3</v>
          </cell>
          <cell r="F2299" t="str">
            <v>Liquid</v>
          </cell>
        </row>
        <row r="2300">
          <cell r="D2300">
            <v>6</v>
          </cell>
          <cell r="E2300">
            <v>7.0537089999999997E-2</v>
          </cell>
          <cell r="F2300" t="str">
            <v>Liquid</v>
          </cell>
        </row>
        <row r="2301">
          <cell r="D2301">
            <v>6</v>
          </cell>
          <cell r="E2301">
            <v>1.545397E-3</v>
          </cell>
          <cell r="F2301" t="str">
            <v>Liquid</v>
          </cell>
        </row>
        <row r="2302">
          <cell r="D2302">
            <v>6</v>
          </cell>
          <cell r="E2302">
            <v>6.8634110000000001E-5</v>
          </cell>
          <cell r="F2302" t="str">
            <v>Liquid</v>
          </cell>
        </row>
        <row r="2303">
          <cell r="D2303">
            <v>6</v>
          </cell>
          <cell r="E2303">
            <v>1.844432E-3</v>
          </cell>
          <cell r="F2303" t="str">
            <v>Liquid</v>
          </cell>
        </row>
        <row r="2304">
          <cell r="D2304">
            <v>6</v>
          </cell>
          <cell r="E2304">
            <v>3.1666479999999997E-2</v>
          </cell>
          <cell r="F2304" t="str">
            <v>Liquid</v>
          </cell>
        </row>
        <row r="2305">
          <cell r="D2305">
            <v>6</v>
          </cell>
          <cell r="E2305">
            <v>3.440036E-3</v>
          </cell>
          <cell r="F2305" t="str">
            <v>Liquid</v>
          </cell>
        </row>
        <row r="2306">
          <cell r="D2306">
            <v>6</v>
          </cell>
          <cell r="E2306">
            <v>5.4985820000000001E-3</v>
          </cell>
          <cell r="F2306" t="str">
            <v>Liquid</v>
          </cell>
        </row>
        <row r="2307">
          <cell r="D2307">
            <v>6</v>
          </cell>
          <cell r="E2307">
            <v>6.8670679999999996E-3</v>
          </cell>
          <cell r="F2307" t="str">
            <v>Liquid</v>
          </cell>
        </row>
        <row r="2308">
          <cell r="D2308">
            <v>6</v>
          </cell>
          <cell r="E2308">
            <v>8.0815239999999997E-3</v>
          </cell>
          <cell r="F2308" t="str">
            <v>Liquid</v>
          </cell>
        </row>
        <row r="2309">
          <cell r="D2309">
            <v>6</v>
          </cell>
          <cell r="E2309">
            <v>5.4985329999999999E-3</v>
          </cell>
          <cell r="F2309" t="str">
            <v>Liquid</v>
          </cell>
        </row>
        <row r="2310">
          <cell r="D2310">
            <v>6</v>
          </cell>
          <cell r="E2310">
            <v>1.481918E-3</v>
          </cell>
          <cell r="F2310" t="str">
            <v>Liquid</v>
          </cell>
        </row>
        <row r="2311">
          <cell r="D2311">
            <v>6</v>
          </cell>
          <cell r="E2311">
            <v>4.5958750000000001E-3</v>
          </cell>
          <cell r="F2311" t="str">
            <v>Liquid</v>
          </cell>
        </row>
        <row r="2312">
          <cell r="D2312">
            <v>6</v>
          </cell>
          <cell r="E2312">
            <v>2.9469050000000001E-3</v>
          </cell>
          <cell r="F2312" t="str">
            <v>Liquid</v>
          </cell>
        </row>
        <row r="2313">
          <cell r="D2313">
            <v>6</v>
          </cell>
          <cell r="E2313">
            <v>5.4984839999999997E-3</v>
          </cell>
          <cell r="F2313" t="str">
            <v>Liquid</v>
          </cell>
        </row>
        <row r="2314">
          <cell r="D2314">
            <v>6</v>
          </cell>
          <cell r="E2314">
            <v>4.6082739999999999E-3</v>
          </cell>
          <cell r="F2314" t="str">
            <v>Liquid</v>
          </cell>
        </row>
        <row r="2315">
          <cell r="D2315">
            <v>6</v>
          </cell>
          <cell r="E2315">
            <v>5.4984500000000002E-3</v>
          </cell>
          <cell r="F2315" t="str">
            <v>Liquid</v>
          </cell>
        </row>
        <row r="2316">
          <cell r="D2316">
            <v>6</v>
          </cell>
          <cell r="E2316">
            <v>1.392784E-2</v>
          </cell>
          <cell r="F2316" t="str">
            <v>Liquid</v>
          </cell>
        </row>
        <row r="2317">
          <cell r="D2317">
            <v>6</v>
          </cell>
          <cell r="E2317">
            <v>4.6204710000000001E-3</v>
          </cell>
          <cell r="F2317" t="str">
            <v>Liquid</v>
          </cell>
        </row>
        <row r="2318">
          <cell r="D2318">
            <v>6</v>
          </cell>
          <cell r="E2318">
            <v>2.36959E-3</v>
          </cell>
          <cell r="F2318" t="str">
            <v>Liquid</v>
          </cell>
        </row>
        <row r="2319">
          <cell r="D2319">
            <v>6</v>
          </cell>
          <cell r="E2319">
            <v>6.0011980000000001E-3</v>
          </cell>
          <cell r="F2319" t="str">
            <v>Liquid</v>
          </cell>
        </row>
        <row r="2320">
          <cell r="D2320">
            <v>6</v>
          </cell>
          <cell r="E2320">
            <v>4.6327110000000003E-3</v>
          </cell>
          <cell r="F2320" t="str">
            <v>Liquid</v>
          </cell>
        </row>
        <row r="2321">
          <cell r="D2321">
            <v>6</v>
          </cell>
          <cell r="E2321">
            <v>3.2641380000000002E-3</v>
          </cell>
          <cell r="F2321" t="str">
            <v>Liquid</v>
          </cell>
        </row>
        <row r="2322">
          <cell r="D2322">
            <v>6</v>
          </cell>
          <cell r="E2322">
            <v>4.644792E-3</v>
          </cell>
          <cell r="F2322" t="str">
            <v>Liquid</v>
          </cell>
        </row>
        <row r="2323">
          <cell r="D2323">
            <v>6</v>
          </cell>
          <cell r="E2323">
            <v>3.2763789999999998E-3</v>
          </cell>
          <cell r="F2323" t="str">
            <v>Liquid</v>
          </cell>
        </row>
        <row r="2324">
          <cell r="D2324">
            <v>6</v>
          </cell>
          <cell r="E2324">
            <v>7.9456370000000002E-3</v>
          </cell>
          <cell r="F2324" t="str">
            <v>Liquid</v>
          </cell>
        </row>
        <row r="2325">
          <cell r="D2325">
            <v>6</v>
          </cell>
          <cell r="E2325">
            <v>9.2249380000000002E-3</v>
          </cell>
          <cell r="F2325" t="str">
            <v>Liquid</v>
          </cell>
        </row>
        <row r="2326">
          <cell r="D2326">
            <v>6</v>
          </cell>
          <cell r="E2326">
            <v>0.15003459999999999</v>
          </cell>
          <cell r="F2326" t="str">
            <v>Liquid</v>
          </cell>
        </row>
        <row r="2327">
          <cell r="D2327">
            <v>6</v>
          </cell>
          <cell r="E2327">
            <v>4.7450110000000002E-5</v>
          </cell>
          <cell r="F2327" t="str">
            <v>Liquid</v>
          </cell>
        </row>
        <row r="2328">
          <cell r="D2328">
            <v>6</v>
          </cell>
          <cell r="E2328">
            <v>2.411846E-3</v>
          </cell>
          <cell r="F2328" t="str">
            <v>Liquid</v>
          </cell>
        </row>
        <row r="2329">
          <cell r="D2329">
            <v>6</v>
          </cell>
          <cell r="E2329">
            <v>3.6348280000000001E-3</v>
          </cell>
          <cell r="F2329" t="str">
            <v>Liquid</v>
          </cell>
        </row>
        <row r="2330">
          <cell r="D2330">
            <v>6</v>
          </cell>
          <cell r="E2330">
            <v>1.398041E-2</v>
          </cell>
          <cell r="F2330" t="str">
            <v>Liquid</v>
          </cell>
        </row>
        <row r="2331">
          <cell r="D2331">
            <v>6</v>
          </cell>
          <cell r="E2331">
            <v>1.8040380000000002E-2</v>
          </cell>
          <cell r="F2331" t="str">
            <v>Liquid</v>
          </cell>
        </row>
        <row r="2332">
          <cell r="D2332">
            <v>6</v>
          </cell>
          <cell r="E2332">
            <v>3.4229700000000002E-2</v>
          </cell>
          <cell r="F2332" t="str">
            <v>Liquid</v>
          </cell>
        </row>
        <row r="2333">
          <cell r="D2333">
            <v>6</v>
          </cell>
          <cell r="E2333">
            <v>2.5451990000000002E-3</v>
          </cell>
          <cell r="F2333" t="str">
            <v>Liquid</v>
          </cell>
        </row>
        <row r="2334">
          <cell r="D2334">
            <v>6</v>
          </cell>
          <cell r="E2334">
            <v>2.5452449999999998E-3</v>
          </cell>
          <cell r="F2334" t="str">
            <v>Liquid</v>
          </cell>
        </row>
        <row r="2335">
          <cell r="D2335">
            <v>6</v>
          </cell>
          <cell r="E2335">
            <v>2.5585899999999999E-3</v>
          </cell>
          <cell r="F2335" t="str">
            <v>Liquid</v>
          </cell>
        </row>
        <row r="2336">
          <cell r="D2336">
            <v>6</v>
          </cell>
          <cell r="E2336">
            <v>2.5409489999999998E-3</v>
          </cell>
          <cell r="F2336" t="str">
            <v>Liquid</v>
          </cell>
        </row>
        <row r="2337">
          <cell r="D2337">
            <v>6</v>
          </cell>
          <cell r="E2337">
            <v>2.538116E-3</v>
          </cell>
          <cell r="F2337" t="str">
            <v>Liquid</v>
          </cell>
        </row>
        <row r="2338">
          <cell r="D2338">
            <v>6</v>
          </cell>
          <cell r="E2338">
            <v>2.5380979999999999E-3</v>
          </cell>
          <cell r="F2338" t="str">
            <v>Liquid</v>
          </cell>
        </row>
        <row r="2339">
          <cell r="D2339">
            <v>6</v>
          </cell>
          <cell r="E2339">
            <v>1.0976600000000001E-3</v>
          </cell>
          <cell r="F2339" t="str">
            <v>Liquid</v>
          </cell>
        </row>
        <row r="2340">
          <cell r="D2340">
            <v>6</v>
          </cell>
          <cell r="E2340">
            <v>2.5548189999999998E-3</v>
          </cell>
          <cell r="F2340" t="str">
            <v>Liquid</v>
          </cell>
        </row>
        <row r="2341">
          <cell r="D2341">
            <v>6</v>
          </cell>
          <cell r="E2341">
            <v>2.5706599999999998E-3</v>
          </cell>
          <cell r="F2341" t="str">
            <v>Liquid</v>
          </cell>
        </row>
        <row r="2342">
          <cell r="D2342">
            <v>6</v>
          </cell>
          <cell r="E2342">
            <v>5.1413350000000003E-3</v>
          </cell>
          <cell r="F2342" t="str">
            <v>Liquid</v>
          </cell>
        </row>
        <row r="2343">
          <cell r="D2343">
            <v>6</v>
          </cell>
          <cell r="E2343">
            <v>2.5707220000000001E-3</v>
          </cell>
          <cell r="F2343" t="str">
            <v>Liquid</v>
          </cell>
        </row>
        <row r="2344">
          <cell r="D2344">
            <v>6</v>
          </cell>
          <cell r="E2344">
            <v>2.5706090000000002E-3</v>
          </cell>
          <cell r="F2344" t="str">
            <v>Liquid</v>
          </cell>
        </row>
        <row r="2345">
          <cell r="D2345">
            <v>6</v>
          </cell>
          <cell r="E2345">
            <v>2.561509E-3</v>
          </cell>
          <cell r="F2345" t="str">
            <v>Liquid</v>
          </cell>
        </row>
        <row r="2346">
          <cell r="D2346">
            <v>6</v>
          </cell>
          <cell r="E2346">
            <v>2.5520920000000002E-3</v>
          </cell>
          <cell r="F2346" t="str">
            <v>Liquid</v>
          </cell>
        </row>
        <row r="2347">
          <cell r="D2347">
            <v>6</v>
          </cell>
          <cell r="E2347">
            <v>2.552155E-3</v>
          </cell>
          <cell r="F2347" t="str">
            <v>Liquid</v>
          </cell>
        </row>
        <row r="2348">
          <cell r="D2348">
            <v>6</v>
          </cell>
          <cell r="E2348">
            <v>2.552042E-3</v>
          </cell>
          <cell r="F2348" t="str">
            <v>Liquid</v>
          </cell>
        </row>
        <row r="2349">
          <cell r="D2349">
            <v>6</v>
          </cell>
          <cell r="E2349">
            <v>2.5520410000000001E-3</v>
          </cell>
          <cell r="F2349" t="str">
            <v>Liquid</v>
          </cell>
        </row>
        <row r="2350">
          <cell r="D2350">
            <v>6</v>
          </cell>
          <cell r="E2350">
            <v>2.5520870000000002E-3</v>
          </cell>
          <cell r="F2350" t="str">
            <v>Liquid</v>
          </cell>
        </row>
        <row r="2351">
          <cell r="D2351">
            <v>6</v>
          </cell>
          <cell r="E2351">
            <v>2.4588600000000002E-3</v>
          </cell>
          <cell r="F2351" t="str">
            <v>Liquid</v>
          </cell>
        </row>
        <row r="2352">
          <cell r="D2352">
            <v>6</v>
          </cell>
          <cell r="E2352">
            <v>1.5458030000000001E-3</v>
          </cell>
          <cell r="F2352" t="str">
            <v>Liquid</v>
          </cell>
        </row>
        <row r="2353">
          <cell r="D2353">
            <v>6</v>
          </cell>
          <cell r="E2353">
            <v>1.040096E-4</v>
          </cell>
          <cell r="F2353" t="str">
            <v>Liquid</v>
          </cell>
        </row>
        <row r="2354">
          <cell r="D2354">
            <v>6</v>
          </cell>
          <cell r="E2354">
            <v>9.8937960000000007E-4</v>
          </cell>
          <cell r="F2354" t="str">
            <v>Liquid</v>
          </cell>
        </row>
        <row r="2355">
          <cell r="D2355">
            <v>6</v>
          </cell>
          <cell r="E2355">
            <v>1.05127E-3</v>
          </cell>
          <cell r="F2355" t="str">
            <v>Liquid</v>
          </cell>
        </row>
        <row r="2356">
          <cell r="D2356">
            <v>6</v>
          </cell>
          <cell r="E2356">
            <v>4.9280970000000002E-3</v>
          </cell>
          <cell r="F2356" t="str">
            <v>Liquid</v>
          </cell>
        </row>
        <row r="2357">
          <cell r="D2357">
            <v>6</v>
          </cell>
          <cell r="E2357">
            <v>1.9184709999999999E-4</v>
          </cell>
          <cell r="F2357" t="str">
            <v>Liquid</v>
          </cell>
        </row>
        <row r="2358">
          <cell r="D2358">
            <v>6</v>
          </cell>
          <cell r="E2358">
            <v>5.1872109999999997E-3</v>
          </cell>
          <cell r="F2358" t="str">
            <v>Liquid</v>
          </cell>
        </row>
        <row r="2359">
          <cell r="D2359">
            <v>6</v>
          </cell>
          <cell r="E2359">
            <v>1.005736E-2</v>
          </cell>
          <cell r="F2359" t="str">
            <v>Liquid</v>
          </cell>
        </row>
        <row r="2360">
          <cell r="D2360">
            <v>6</v>
          </cell>
          <cell r="E2360">
            <v>5.6166449999999998E-4</v>
          </cell>
          <cell r="F2360" t="str">
            <v>Liquid</v>
          </cell>
        </row>
        <row r="2361">
          <cell r="D2361">
            <v>6</v>
          </cell>
          <cell r="E2361">
            <v>4.7348490000000002E-3</v>
          </cell>
          <cell r="F2361" t="str">
            <v>Liquid</v>
          </cell>
        </row>
        <row r="2362">
          <cell r="D2362">
            <v>6</v>
          </cell>
          <cell r="E2362">
            <v>4.3068510000000002E-4</v>
          </cell>
          <cell r="F2362" t="str">
            <v>Liquid</v>
          </cell>
        </row>
        <row r="2363">
          <cell r="D2363">
            <v>6</v>
          </cell>
          <cell r="E2363">
            <v>2.223179E-3</v>
          </cell>
          <cell r="F2363" t="str">
            <v>Liquid</v>
          </cell>
        </row>
        <row r="2364">
          <cell r="D2364">
            <v>6</v>
          </cell>
          <cell r="E2364">
            <v>2.3784100000000001E-3</v>
          </cell>
          <cell r="F2364" t="str">
            <v>Liquid</v>
          </cell>
        </row>
        <row r="2365">
          <cell r="D2365">
            <v>6</v>
          </cell>
          <cell r="E2365">
            <v>2.6593910000000001E-3</v>
          </cell>
          <cell r="F2365" t="str">
            <v>Liquid</v>
          </cell>
        </row>
        <row r="2366">
          <cell r="D2366">
            <v>6</v>
          </cell>
          <cell r="E2366">
            <v>2.597818E-3</v>
          </cell>
          <cell r="F2366" t="str">
            <v>Liquid</v>
          </cell>
        </row>
        <row r="2367">
          <cell r="D2367">
            <v>6</v>
          </cell>
          <cell r="E2367">
            <v>2.5170209999999999E-3</v>
          </cell>
          <cell r="F2367" t="str">
            <v>Liquid</v>
          </cell>
        </row>
        <row r="2368">
          <cell r="D2368">
            <v>6</v>
          </cell>
          <cell r="E2368">
            <v>4.9488630000000004E-3</v>
          </cell>
          <cell r="F2368" t="str">
            <v>Liquid</v>
          </cell>
        </row>
        <row r="2369">
          <cell r="D2369">
            <v>6</v>
          </cell>
          <cell r="E2369">
            <v>7.352089E-3</v>
          </cell>
          <cell r="F2369" t="str">
            <v>Liquid</v>
          </cell>
        </row>
        <row r="2370">
          <cell r="D2370">
            <v>6</v>
          </cell>
          <cell r="E2370">
            <v>4.9093180000000002E-3</v>
          </cell>
          <cell r="F2370" t="str">
            <v>Liquid</v>
          </cell>
        </row>
        <row r="2371">
          <cell r="D2371">
            <v>6</v>
          </cell>
          <cell r="E2371">
            <v>2.9323370000000001E-3</v>
          </cell>
          <cell r="F2371" t="str">
            <v>Liquid</v>
          </cell>
        </row>
        <row r="2372">
          <cell r="D2372">
            <v>6</v>
          </cell>
          <cell r="E2372">
            <v>2.4553410000000002E-3</v>
          </cell>
          <cell r="F2372" t="str">
            <v>Liquid</v>
          </cell>
        </row>
        <row r="2373">
          <cell r="D2373">
            <v>6</v>
          </cell>
          <cell r="E2373">
            <v>3.061798E-2</v>
          </cell>
          <cell r="F2373" t="str">
            <v>Liquid</v>
          </cell>
        </row>
        <row r="2374">
          <cell r="D2374">
            <v>6</v>
          </cell>
          <cell r="E2374">
            <v>0.13062579999999999</v>
          </cell>
          <cell r="F2374" t="str">
            <v>Liquid</v>
          </cell>
        </row>
        <row r="2375">
          <cell r="D2375">
            <v>6</v>
          </cell>
          <cell r="E2375">
            <v>6.6522499999999997E-4</v>
          </cell>
          <cell r="F2375" t="str">
            <v>Liquid</v>
          </cell>
        </row>
        <row r="2376">
          <cell r="D2376">
            <v>6</v>
          </cell>
          <cell r="E2376">
            <v>2.5708459999999999E-3</v>
          </cell>
          <cell r="F2376" t="str">
            <v>Liquid</v>
          </cell>
        </row>
        <row r="2377">
          <cell r="D2377">
            <v>6</v>
          </cell>
          <cell r="E2377">
            <v>2.5871510000000002E-3</v>
          </cell>
          <cell r="F2377" t="str">
            <v>Liquid</v>
          </cell>
        </row>
        <row r="2378">
          <cell r="D2378">
            <v>6</v>
          </cell>
          <cell r="E2378">
            <v>4.9816329999999999E-2</v>
          </cell>
          <cell r="F2378" t="str">
            <v>Liquid</v>
          </cell>
        </row>
        <row r="2379">
          <cell r="D2379">
            <v>6</v>
          </cell>
          <cell r="E2379">
            <v>1.0897199999999999E-2</v>
          </cell>
          <cell r="F2379" t="str">
            <v>Liquid</v>
          </cell>
        </row>
        <row r="2380">
          <cell r="D2380">
            <v>6</v>
          </cell>
          <cell r="E2380">
            <v>2.523792E-3</v>
          </cell>
          <cell r="F2380" t="str">
            <v>Liquid</v>
          </cell>
        </row>
        <row r="2381">
          <cell r="D2381">
            <v>6</v>
          </cell>
          <cell r="E2381">
            <v>3.5739829999999998E-4</v>
          </cell>
          <cell r="F2381" t="str">
            <v>Liquid</v>
          </cell>
        </row>
        <row r="2382">
          <cell r="D2382">
            <v>6</v>
          </cell>
          <cell r="E2382">
            <v>3.4129020000000002E-3</v>
          </cell>
          <cell r="F2382" t="str">
            <v>Liquid</v>
          </cell>
        </row>
        <row r="2383">
          <cell r="D2383">
            <v>6</v>
          </cell>
          <cell r="E2383">
            <v>6.1397250000000004E-3</v>
          </cell>
          <cell r="F2383" t="str">
            <v>Liquid</v>
          </cell>
        </row>
        <row r="2384">
          <cell r="D2384">
            <v>6</v>
          </cell>
          <cell r="E2384">
            <v>8.4873339999999992E-3</v>
          </cell>
          <cell r="F2384" t="str">
            <v>Liquid</v>
          </cell>
        </row>
        <row r="2385">
          <cell r="D2385">
            <v>6</v>
          </cell>
          <cell r="E2385">
            <v>4.9136759999999996E-3</v>
          </cell>
          <cell r="F2385" t="str">
            <v>Liquid</v>
          </cell>
        </row>
        <row r="2386">
          <cell r="D2386">
            <v>6</v>
          </cell>
          <cell r="E2386">
            <v>2.267617E-3</v>
          </cell>
          <cell r="F2386" t="str">
            <v>Liquid</v>
          </cell>
        </row>
        <row r="2387">
          <cell r="D2387">
            <v>6</v>
          </cell>
          <cell r="E2387">
            <v>4.5829620000000001E-2</v>
          </cell>
          <cell r="F2387" t="str">
            <v>Liquid</v>
          </cell>
        </row>
        <row r="2388">
          <cell r="D2388">
            <v>6</v>
          </cell>
          <cell r="E2388">
            <v>0.1307326</v>
          </cell>
          <cell r="F2388" t="str">
            <v>Liquid</v>
          </cell>
        </row>
        <row r="2389">
          <cell r="D2389">
            <v>6</v>
          </cell>
          <cell r="E2389">
            <v>1.5897410000000001E-2</v>
          </cell>
          <cell r="F2389" t="str">
            <v>Liquid</v>
          </cell>
        </row>
        <row r="2390">
          <cell r="D2390">
            <v>6</v>
          </cell>
          <cell r="E2390">
            <v>4.70039E-4</v>
          </cell>
          <cell r="F2390" t="str">
            <v>Liquid</v>
          </cell>
        </row>
        <row r="2391">
          <cell r="D2391">
            <v>6</v>
          </cell>
          <cell r="E2391">
            <v>4.4310820000000001E-2</v>
          </cell>
          <cell r="F2391" t="str">
            <v>Liquid</v>
          </cell>
        </row>
        <row r="2392">
          <cell r="D2392">
            <v>6</v>
          </cell>
          <cell r="E2392">
            <v>1.9684489999999999E-2</v>
          </cell>
          <cell r="F2392" t="str">
            <v>Liquid</v>
          </cell>
        </row>
        <row r="2393">
          <cell r="D2393">
            <v>6</v>
          </cell>
          <cell r="E2393">
            <v>2.5238959999999999E-3</v>
          </cell>
          <cell r="F2393" t="str">
            <v>Liquid</v>
          </cell>
        </row>
        <row r="2394">
          <cell r="D2394">
            <v>6</v>
          </cell>
          <cell r="E2394">
            <v>2.523932E-3</v>
          </cell>
          <cell r="F2394" t="str">
            <v>Liquid</v>
          </cell>
        </row>
        <row r="2395">
          <cell r="D2395">
            <v>6</v>
          </cell>
          <cell r="E2395">
            <v>2.1428390000000001E-3</v>
          </cell>
          <cell r="F2395" t="str">
            <v>Liquid</v>
          </cell>
        </row>
        <row r="2396">
          <cell r="D2396">
            <v>6</v>
          </cell>
          <cell r="E2396">
            <v>6.1371050000000003E-3</v>
          </cell>
          <cell r="F2396" t="str">
            <v>Liquid</v>
          </cell>
        </row>
        <row r="2397">
          <cell r="D2397">
            <v>6</v>
          </cell>
          <cell r="E2397">
            <v>8.5167260000000005E-3</v>
          </cell>
          <cell r="F2397" t="str">
            <v>Liquid</v>
          </cell>
        </row>
        <row r="2398">
          <cell r="D2398">
            <v>6</v>
          </cell>
          <cell r="E2398">
            <v>4.9085709999999996E-3</v>
          </cell>
          <cell r="F2398" t="str">
            <v>Liquid</v>
          </cell>
        </row>
        <row r="2399">
          <cell r="D2399">
            <v>6</v>
          </cell>
          <cell r="E2399">
            <v>9.3861659999999996E-4</v>
          </cell>
          <cell r="F2399" t="str">
            <v>Liquid</v>
          </cell>
        </row>
        <row r="2400">
          <cell r="D2400">
            <v>4</v>
          </cell>
          <cell r="E2400">
            <v>2.1731370000000001E-5</v>
          </cell>
          <cell r="F2400" t="str">
            <v>Liquid</v>
          </cell>
        </row>
        <row r="2401">
          <cell r="D2401">
            <v>5</v>
          </cell>
          <cell r="E2401">
            <v>3.9753299999999999E-4</v>
          </cell>
          <cell r="F2401" t="str">
            <v>Liquid</v>
          </cell>
        </row>
        <row r="2402">
          <cell r="D2402">
            <v>5</v>
          </cell>
          <cell r="E2402">
            <v>1.090404E-4</v>
          </cell>
          <cell r="F2402" t="str">
            <v>Liquid</v>
          </cell>
        </row>
        <row r="2403">
          <cell r="D2403">
            <v>5</v>
          </cell>
          <cell r="E2403">
            <v>1.7234490000000002E-2</v>
          </cell>
          <cell r="F2403" t="str">
            <v>Liquid</v>
          </cell>
        </row>
        <row r="2404">
          <cell r="D2404">
            <v>6</v>
          </cell>
          <cell r="E2404">
            <v>1.352328E-2</v>
          </cell>
          <cell r="F2404" t="str">
            <v>Liquid</v>
          </cell>
        </row>
        <row r="2405">
          <cell r="D2405">
            <v>6</v>
          </cell>
          <cell r="E2405">
            <v>4.9241170000000004E-3</v>
          </cell>
          <cell r="F2405" t="str">
            <v>Liquid</v>
          </cell>
        </row>
        <row r="2406">
          <cell r="D2406">
            <v>6</v>
          </cell>
          <cell r="E2406">
            <v>1.679437E-3</v>
          </cell>
          <cell r="F2406" t="str">
            <v>Liquid</v>
          </cell>
        </row>
        <row r="2407">
          <cell r="D2407">
            <v>0</v>
          </cell>
          <cell r="E2407">
            <v>1.9732929999999999E-2</v>
          </cell>
          <cell r="F2407" t="str">
            <v>Liquid</v>
          </cell>
        </row>
        <row r="2408">
          <cell r="D2408">
            <v>0</v>
          </cell>
          <cell r="E2408">
            <v>4.9028689999999998E-3</v>
          </cell>
          <cell r="F2408" t="str">
            <v>Liquid</v>
          </cell>
        </row>
        <row r="2409">
          <cell r="D2409">
            <v>0</v>
          </cell>
          <cell r="E2409">
            <v>8.3115529999999993E-3</v>
          </cell>
          <cell r="F2409" t="str">
            <v>Liquid</v>
          </cell>
        </row>
        <row r="2410">
          <cell r="D2410">
            <v>0</v>
          </cell>
          <cell r="E2410">
            <v>1.6122399999999999E-2</v>
          </cell>
          <cell r="F2410" t="str">
            <v>Liquid</v>
          </cell>
        </row>
        <row r="2411">
          <cell r="D2411">
            <v>0</v>
          </cell>
          <cell r="E2411">
            <v>0.10497819999999999</v>
          </cell>
          <cell r="F2411" t="str">
            <v>Liquid</v>
          </cell>
        </row>
        <row r="2412">
          <cell r="D2412">
            <v>0</v>
          </cell>
          <cell r="E2412">
            <v>0.44190620000000003</v>
          </cell>
          <cell r="F2412" t="str">
            <v>Liquid</v>
          </cell>
        </row>
        <row r="2413">
          <cell r="D2413">
            <v>1</v>
          </cell>
          <cell r="E2413">
            <v>3.1159830000000001E-3</v>
          </cell>
          <cell r="F2413" t="str">
            <v>Liquid</v>
          </cell>
        </row>
        <row r="2414">
          <cell r="D2414">
            <v>1</v>
          </cell>
          <cell r="E2414">
            <v>1.031782E-2</v>
          </cell>
          <cell r="F2414" t="str">
            <v>Liquid</v>
          </cell>
        </row>
        <row r="2415">
          <cell r="D2415">
            <v>1</v>
          </cell>
          <cell r="E2415">
            <v>3.1484960000000002E-3</v>
          </cell>
          <cell r="F2415" t="str">
            <v>Liquid</v>
          </cell>
        </row>
        <row r="2416">
          <cell r="D2416">
            <v>1</v>
          </cell>
          <cell r="E2416">
            <v>7.8291669999999995E-4</v>
          </cell>
          <cell r="F2416" t="str">
            <v>Liquid</v>
          </cell>
        </row>
        <row r="2417">
          <cell r="D2417">
            <v>1</v>
          </cell>
          <cell r="E2417">
            <v>5.0283619999999998E-3</v>
          </cell>
          <cell r="F2417" t="str">
            <v>Liquid</v>
          </cell>
        </row>
        <row r="2418">
          <cell r="D2418">
            <v>1</v>
          </cell>
          <cell r="E2418">
            <v>5.055655E-3</v>
          </cell>
          <cell r="F2418" t="str">
            <v>Liquid</v>
          </cell>
        </row>
        <row r="2419">
          <cell r="D2419">
            <v>1</v>
          </cell>
          <cell r="E2419">
            <v>5.7019529999999999E-2</v>
          </cell>
          <cell r="F2419" t="str">
            <v>Liquid</v>
          </cell>
        </row>
        <row r="2420">
          <cell r="D2420">
            <v>1</v>
          </cell>
          <cell r="E2420">
            <v>4.4946989999999996E-3</v>
          </cell>
          <cell r="F2420" t="str">
            <v>Liquid</v>
          </cell>
        </row>
        <row r="2421">
          <cell r="D2421">
            <v>1</v>
          </cell>
          <cell r="E2421">
            <v>2.6385739999999999E-3</v>
          </cell>
          <cell r="F2421" t="str">
            <v>Liquid</v>
          </cell>
        </row>
        <row r="2422">
          <cell r="D2422">
            <v>1</v>
          </cell>
          <cell r="E2422">
            <v>2.5800969999999999E-3</v>
          </cell>
          <cell r="F2422" t="str">
            <v>Liquid</v>
          </cell>
        </row>
        <row r="2423">
          <cell r="D2423">
            <v>1</v>
          </cell>
          <cell r="E2423">
            <v>8.0417140000000004E-4</v>
          </cell>
          <cell r="F2423" t="str">
            <v>Liquid</v>
          </cell>
        </row>
        <row r="2424">
          <cell r="D2424">
            <v>1</v>
          </cell>
          <cell r="E2424">
            <v>2.5222689999999999E-2</v>
          </cell>
          <cell r="F2424" t="str">
            <v>Liquid</v>
          </cell>
        </row>
        <row r="2425">
          <cell r="D2425">
            <v>1</v>
          </cell>
          <cell r="E2425">
            <v>0.58017660000000004</v>
          </cell>
          <cell r="F2425" t="str">
            <v>Liquid</v>
          </cell>
        </row>
        <row r="2426">
          <cell r="D2426">
            <v>1</v>
          </cell>
          <cell r="E2426">
            <v>1.2548149999999999E-2</v>
          </cell>
          <cell r="F2426" t="str">
            <v>Liquid</v>
          </cell>
        </row>
        <row r="2427">
          <cell r="D2427">
            <v>1</v>
          </cell>
          <cell r="E2427">
            <v>7.3547439999999999E-3</v>
          </cell>
          <cell r="F2427" t="str">
            <v>Liquid</v>
          </cell>
        </row>
        <row r="2428">
          <cell r="D2428">
            <v>1</v>
          </cell>
          <cell r="E2428">
            <v>7.3547430000000004E-3</v>
          </cell>
          <cell r="F2428" t="str">
            <v>Liquid</v>
          </cell>
        </row>
        <row r="2429">
          <cell r="D2429">
            <v>1</v>
          </cell>
          <cell r="E2429">
            <v>9.8063130000000005E-3</v>
          </cell>
          <cell r="F2429" t="str">
            <v>Liquid</v>
          </cell>
        </row>
        <row r="2430">
          <cell r="D2430">
            <v>1</v>
          </cell>
          <cell r="E2430">
            <v>0.1203848</v>
          </cell>
          <cell r="F2430" t="str">
            <v>Liquid</v>
          </cell>
        </row>
        <row r="2431">
          <cell r="D2431">
            <v>1</v>
          </cell>
          <cell r="E2431">
            <v>7.3547939999999996E-3</v>
          </cell>
          <cell r="F2431" t="str">
            <v>Liquid</v>
          </cell>
        </row>
        <row r="2432">
          <cell r="D2432">
            <v>1</v>
          </cell>
          <cell r="E2432">
            <v>4.8752359999999998E-3</v>
          </cell>
          <cell r="F2432" t="str">
            <v>Liquid</v>
          </cell>
        </row>
        <row r="2433">
          <cell r="D2433">
            <v>1</v>
          </cell>
          <cell r="E2433">
            <v>4.906634E-3</v>
          </cell>
          <cell r="F2433" t="str">
            <v>Liquid</v>
          </cell>
        </row>
        <row r="2434">
          <cell r="D2434">
            <v>1</v>
          </cell>
          <cell r="E2434">
            <v>4.1713380000000001E-2</v>
          </cell>
          <cell r="F2434" t="str">
            <v>Liquid</v>
          </cell>
        </row>
        <row r="2435">
          <cell r="D2435">
            <v>1</v>
          </cell>
          <cell r="E2435">
            <v>4.2319990000000002E-3</v>
          </cell>
          <cell r="F2435" t="str">
            <v>Liquid</v>
          </cell>
        </row>
        <row r="2436">
          <cell r="D2436">
            <v>1</v>
          </cell>
          <cell r="E2436">
            <v>1.7176339999999998E-2</v>
          </cell>
          <cell r="F2436" t="str">
            <v>Liquid</v>
          </cell>
        </row>
        <row r="2437">
          <cell r="D2437">
            <v>1</v>
          </cell>
          <cell r="E2437">
            <v>7.3613300000000001E-3</v>
          </cell>
          <cell r="F2437" t="str">
            <v>Liquid</v>
          </cell>
        </row>
        <row r="2438">
          <cell r="D2438">
            <v>2</v>
          </cell>
          <cell r="E2438">
            <v>5.9981819999999997E-4</v>
          </cell>
          <cell r="F2438" t="str">
            <v>Liquid</v>
          </cell>
        </row>
        <row r="2439">
          <cell r="D2439">
            <v>2</v>
          </cell>
          <cell r="E2439">
            <v>3.1210040000000001E-3</v>
          </cell>
          <cell r="F2439" t="str">
            <v>Liquid</v>
          </cell>
        </row>
        <row r="2440">
          <cell r="D2440">
            <v>2</v>
          </cell>
          <cell r="E2440">
            <v>6.2931250000000001E-3</v>
          </cell>
          <cell r="F2440" t="str">
            <v>Liquid</v>
          </cell>
        </row>
        <row r="2441">
          <cell r="D2441">
            <v>2</v>
          </cell>
          <cell r="E2441">
            <v>1.9086070000000001E-3</v>
          </cell>
          <cell r="F2441" t="str">
            <v>Liquid</v>
          </cell>
        </row>
        <row r="2442">
          <cell r="D2442">
            <v>2</v>
          </cell>
          <cell r="E2442">
            <v>2.5527499999999999E-3</v>
          </cell>
          <cell r="F2442" t="str">
            <v>Liquid</v>
          </cell>
        </row>
        <row r="2443">
          <cell r="D2443">
            <v>2</v>
          </cell>
          <cell r="E2443">
            <v>4.7257769999999996E-3</v>
          </cell>
          <cell r="F2443" t="str">
            <v>Liquid</v>
          </cell>
        </row>
        <row r="2444">
          <cell r="D2444">
            <v>2</v>
          </cell>
          <cell r="E2444">
            <v>5.1602410000000003E-3</v>
          </cell>
          <cell r="F2444" t="str">
            <v>Liquid</v>
          </cell>
        </row>
        <row r="2445">
          <cell r="D2445">
            <v>2</v>
          </cell>
          <cell r="E2445">
            <v>7.7403810000000002E-3</v>
          </cell>
          <cell r="F2445" t="str">
            <v>Liquid</v>
          </cell>
        </row>
        <row r="2446">
          <cell r="D2446">
            <v>2</v>
          </cell>
          <cell r="E2446">
            <v>2.4611289999999998E-3</v>
          </cell>
          <cell r="F2446" t="str">
            <v>Liquid</v>
          </cell>
        </row>
        <row r="2447">
          <cell r="D2447">
            <v>2</v>
          </cell>
          <cell r="E2447">
            <v>2.5801219999999998E-3</v>
          </cell>
          <cell r="F2447" t="str">
            <v>Liquid</v>
          </cell>
        </row>
        <row r="2448">
          <cell r="D2448">
            <v>2</v>
          </cell>
          <cell r="E2448">
            <v>8.4057769999999997E-3</v>
          </cell>
          <cell r="F2448" t="str">
            <v>Liquid</v>
          </cell>
        </row>
        <row r="2449">
          <cell r="D2449">
            <v>2</v>
          </cell>
          <cell r="E2449">
            <v>1.469814E-2</v>
          </cell>
          <cell r="F2449" t="str">
            <v>Liquid</v>
          </cell>
        </row>
        <row r="2450">
          <cell r="D2450">
            <v>2</v>
          </cell>
          <cell r="E2450">
            <v>9.9244490000000001E-3</v>
          </cell>
          <cell r="F2450" t="str">
            <v>Liquid</v>
          </cell>
        </row>
        <row r="2451">
          <cell r="D2451">
            <v>2</v>
          </cell>
          <cell r="E2451">
            <v>5.4880939999999998E-3</v>
          </cell>
          <cell r="F2451" t="str">
            <v>Liquid</v>
          </cell>
        </row>
        <row r="2452">
          <cell r="D2452">
            <v>2</v>
          </cell>
          <cell r="E2452">
            <v>2.5269950000000002E-3</v>
          </cell>
          <cell r="F2452" t="str">
            <v>Liquid</v>
          </cell>
        </row>
        <row r="2453">
          <cell r="D2453">
            <v>2</v>
          </cell>
          <cell r="E2453">
            <v>5.2762770000000002E-3</v>
          </cell>
          <cell r="F2453" t="str">
            <v>Liquid</v>
          </cell>
        </row>
        <row r="2454">
          <cell r="D2454">
            <v>2</v>
          </cell>
          <cell r="E2454">
            <v>9.2721000000000004E-4</v>
          </cell>
          <cell r="F2454" t="str">
            <v>Liquid</v>
          </cell>
        </row>
        <row r="2455">
          <cell r="D2455">
            <v>2</v>
          </cell>
          <cell r="E2455">
            <v>2.5801089999999999E-2</v>
          </cell>
          <cell r="F2455" t="str">
            <v>Liquid</v>
          </cell>
        </row>
        <row r="2456">
          <cell r="D2456">
            <v>2</v>
          </cell>
          <cell r="E2456">
            <v>2.7296569999999999E-2</v>
          </cell>
          <cell r="F2456" t="str">
            <v>Liquid</v>
          </cell>
        </row>
        <row r="2457">
          <cell r="D2457">
            <v>2</v>
          </cell>
          <cell r="E2457">
            <v>6.3614969999999998E-3</v>
          </cell>
          <cell r="F2457" t="str">
            <v>Liquid</v>
          </cell>
        </row>
        <row r="2458">
          <cell r="D2458">
            <v>2</v>
          </cell>
          <cell r="E2458">
            <v>2.4515800000000001E-2</v>
          </cell>
          <cell r="F2458" t="str">
            <v>Liquid</v>
          </cell>
        </row>
        <row r="2459">
          <cell r="D2459">
            <v>2</v>
          </cell>
          <cell r="E2459">
            <v>7.3547439999999999E-3</v>
          </cell>
          <cell r="F2459" t="str">
            <v>Liquid</v>
          </cell>
        </row>
        <row r="2460">
          <cell r="D2460">
            <v>2</v>
          </cell>
          <cell r="E2460">
            <v>2.4536940000000002E-3</v>
          </cell>
          <cell r="F2460" t="str">
            <v>Liquid</v>
          </cell>
        </row>
        <row r="2461">
          <cell r="D2461">
            <v>2</v>
          </cell>
          <cell r="E2461">
            <v>2.4536390000000001E-3</v>
          </cell>
          <cell r="F2461" t="str">
            <v>Liquid</v>
          </cell>
        </row>
        <row r="2462">
          <cell r="D2462">
            <v>3</v>
          </cell>
          <cell r="E2462">
            <v>3.6600530000000002E-4</v>
          </cell>
          <cell r="F2462" t="str">
            <v>Liquid</v>
          </cell>
        </row>
        <row r="2463">
          <cell r="D2463">
            <v>3</v>
          </cell>
          <cell r="E2463">
            <v>3.1174869999999999E-3</v>
          </cell>
          <cell r="F2463" t="str">
            <v>Liquid</v>
          </cell>
        </row>
        <row r="2464">
          <cell r="D2464">
            <v>3</v>
          </cell>
          <cell r="E2464">
            <v>3.1174829999999999E-3</v>
          </cell>
          <cell r="F2464" t="str">
            <v>Liquid</v>
          </cell>
        </row>
        <row r="2465">
          <cell r="D2465">
            <v>3</v>
          </cell>
          <cell r="E2465">
            <v>5.8373950000000004E-3</v>
          </cell>
          <cell r="F2465" t="str">
            <v>Liquid</v>
          </cell>
        </row>
        <row r="2466">
          <cell r="D2466">
            <v>3</v>
          </cell>
          <cell r="E2466">
            <v>3.149518E-3</v>
          </cell>
          <cell r="F2466" t="str">
            <v>Liquid</v>
          </cell>
        </row>
        <row r="2467">
          <cell r="D2467">
            <v>3</v>
          </cell>
          <cell r="E2467">
            <v>6.8845629999999998E-3</v>
          </cell>
          <cell r="F2467" t="str">
            <v>Liquid</v>
          </cell>
        </row>
        <row r="2468">
          <cell r="D2468">
            <v>3</v>
          </cell>
          <cell r="E2468">
            <v>5.1055650000000003E-3</v>
          </cell>
          <cell r="F2468" t="str">
            <v>Liquid</v>
          </cell>
        </row>
        <row r="2469">
          <cell r="D2469">
            <v>3</v>
          </cell>
          <cell r="E2469">
            <v>5.1602430000000001E-3</v>
          </cell>
          <cell r="F2469" t="str">
            <v>Liquid</v>
          </cell>
        </row>
        <row r="2470">
          <cell r="D2470">
            <v>3</v>
          </cell>
          <cell r="E2470">
            <v>3.0349940000000002E-4</v>
          </cell>
          <cell r="F2470" t="str">
            <v>Liquid</v>
          </cell>
        </row>
        <row r="2471">
          <cell r="D2471">
            <v>3</v>
          </cell>
          <cell r="E2471">
            <v>5.5559570000000003E-3</v>
          </cell>
          <cell r="F2471" t="str">
            <v>Liquid</v>
          </cell>
        </row>
        <row r="2472">
          <cell r="D2472">
            <v>3</v>
          </cell>
          <cell r="E2472">
            <v>1.213874E-3</v>
          </cell>
          <cell r="F2472" t="str">
            <v>Liquid</v>
          </cell>
        </row>
        <row r="2473">
          <cell r="D2473">
            <v>3</v>
          </cell>
          <cell r="E2473">
            <v>3.8401139999999999E-3</v>
          </cell>
          <cell r="F2473" t="str">
            <v>Liquid</v>
          </cell>
        </row>
        <row r="2474">
          <cell r="D2474">
            <v>3</v>
          </cell>
          <cell r="E2474">
            <v>3.9632000000000001E-3</v>
          </cell>
          <cell r="F2474" t="str">
            <v>Liquid</v>
          </cell>
        </row>
        <row r="2475">
          <cell r="D2475">
            <v>3</v>
          </cell>
          <cell r="E2475">
            <v>2.8417680000000002E-3</v>
          </cell>
          <cell r="F2475" t="str">
            <v>Liquid</v>
          </cell>
        </row>
        <row r="2476">
          <cell r="D2476">
            <v>3</v>
          </cell>
          <cell r="E2476">
            <v>3.7688980000000001E-3</v>
          </cell>
          <cell r="F2476" t="str">
            <v>Liquid</v>
          </cell>
        </row>
        <row r="2477">
          <cell r="D2477">
            <v>3</v>
          </cell>
          <cell r="E2477">
            <v>1.571229E-2</v>
          </cell>
          <cell r="F2477" t="str">
            <v>Liquid</v>
          </cell>
        </row>
        <row r="2478">
          <cell r="D2478">
            <v>3</v>
          </cell>
          <cell r="E2478">
            <v>4.0697440000000001E-2</v>
          </cell>
          <cell r="F2478" t="str">
            <v>Liquid</v>
          </cell>
        </row>
        <row r="2479">
          <cell r="D2479">
            <v>3</v>
          </cell>
          <cell r="E2479">
            <v>2.453691E-3</v>
          </cell>
          <cell r="F2479" t="str">
            <v>Liquid</v>
          </cell>
        </row>
        <row r="2480">
          <cell r="D2480">
            <v>4</v>
          </cell>
          <cell r="E2480">
            <v>6.2348450000000001E-3</v>
          </cell>
          <cell r="F2480" t="str">
            <v>Liquid</v>
          </cell>
        </row>
        <row r="2481">
          <cell r="D2481">
            <v>4</v>
          </cell>
          <cell r="E2481">
            <v>8.2217709999999992E-3</v>
          </cell>
          <cell r="F2481" t="str">
            <v>Liquid</v>
          </cell>
        </row>
        <row r="2482">
          <cell r="D2482">
            <v>4</v>
          </cell>
          <cell r="E2482">
            <v>2.5800789999999999E-3</v>
          </cell>
          <cell r="F2482" t="str">
            <v>Liquid</v>
          </cell>
        </row>
        <row r="2483">
          <cell r="D2483">
            <v>4</v>
          </cell>
          <cell r="E2483">
            <v>2.5462060000000001E-3</v>
          </cell>
          <cell r="F2483" t="str">
            <v>Liquid</v>
          </cell>
        </row>
        <row r="2484">
          <cell r="D2484">
            <v>4</v>
          </cell>
          <cell r="E2484">
            <v>3.407602E-3</v>
          </cell>
          <cell r="F2484" t="str">
            <v>Liquid</v>
          </cell>
        </row>
        <row r="2485">
          <cell r="D2485">
            <v>4</v>
          </cell>
          <cell r="E2485">
            <v>5.1532990000000001E-3</v>
          </cell>
          <cell r="F2485" t="str">
            <v>Liquid</v>
          </cell>
        </row>
        <row r="2486">
          <cell r="D2486">
            <v>4</v>
          </cell>
          <cell r="E2486">
            <v>5.2826890000000001E-2</v>
          </cell>
          <cell r="F2486" t="str">
            <v>Liquid</v>
          </cell>
        </row>
        <row r="2487">
          <cell r="D2487">
            <v>4</v>
          </cell>
          <cell r="E2487">
            <v>3.1800509999999997E-2</v>
          </cell>
          <cell r="F2487" t="str">
            <v>Liquid</v>
          </cell>
        </row>
        <row r="2488">
          <cell r="D2488">
            <v>4</v>
          </cell>
          <cell r="E2488">
            <v>1.4484879999999999E-3</v>
          </cell>
          <cell r="F2488" t="str">
            <v>Liquid</v>
          </cell>
        </row>
        <row r="2489">
          <cell r="D2489">
            <v>4</v>
          </cell>
          <cell r="E2489">
            <v>6.3938899999999997E-4</v>
          </cell>
          <cell r="F2489" t="str">
            <v>Liquid</v>
          </cell>
        </row>
        <row r="2490">
          <cell r="D2490">
            <v>4</v>
          </cell>
          <cell r="E2490">
            <v>4.9073789999999999E-3</v>
          </cell>
          <cell r="F2490" t="str">
            <v>Liquid</v>
          </cell>
        </row>
        <row r="2491">
          <cell r="D2491">
            <v>5</v>
          </cell>
          <cell r="E2491">
            <v>3.3825729999999999E-5</v>
          </cell>
          <cell r="F2491" t="str">
            <v>Liquid</v>
          </cell>
        </row>
        <row r="2492">
          <cell r="D2492">
            <v>5</v>
          </cell>
          <cell r="E2492">
            <v>2.580078E-3</v>
          </cell>
          <cell r="F2492" t="str">
            <v>Liquid</v>
          </cell>
        </row>
        <row r="2493">
          <cell r="D2493">
            <v>5</v>
          </cell>
          <cell r="E2493">
            <v>2.252043E-3</v>
          </cell>
          <cell r="F2493" t="str">
            <v>Liquid</v>
          </cell>
        </row>
        <row r="2494">
          <cell r="D2494">
            <v>5</v>
          </cell>
          <cell r="E2494">
            <v>2.5798319999999998E-3</v>
          </cell>
          <cell r="F2494" t="str">
            <v>Liquid</v>
          </cell>
        </row>
        <row r="2495">
          <cell r="D2495">
            <v>5</v>
          </cell>
          <cell r="E2495">
            <v>3.407602E-3</v>
          </cell>
          <cell r="F2495" t="str">
            <v>Liquid</v>
          </cell>
        </row>
        <row r="2496">
          <cell r="D2496">
            <v>5</v>
          </cell>
          <cell r="E2496">
            <v>2.5800570000000002E-3</v>
          </cell>
          <cell r="F2496" t="str">
            <v>Liquid</v>
          </cell>
        </row>
        <row r="2497">
          <cell r="D2497">
            <v>5</v>
          </cell>
          <cell r="E2497">
            <v>5.2576710000000002E-3</v>
          </cell>
          <cell r="F2497" t="str">
            <v>Liquid</v>
          </cell>
        </row>
        <row r="2498">
          <cell r="D2498">
            <v>5</v>
          </cell>
          <cell r="E2498">
            <v>1.1542500000000001E-2</v>
          </cell>
          <cell r="F2498" t="str">
            <v>Liquid</v>
          </cell>
        </row>
        <row r="2499">
          <cell r="D2499">
            <v>5</v>
          </cell>
          <cell r="E2499">
            <v>5.3107550000000003E-2</v>
          </cell>
          <cell r="F2499" t="str">
            <v>Liquid</v>
          </cell>
        </row>
        <row r="2500">
          <cell r="D2500">
            <v>5</v>
          </cell>
          <cell r="E2500">
            <v>4.4465069999999997E-3</v>
          </cell>
          <cell r="F2500" t="str">
            <v>Liquid</v>
          </cell>
        </row>
        <row r="2501">
          <cell r="D2501">
            <v>5</v>
          </cell>
          <cell r="E2501">
            <v>3.33333E-4</v>
          </cell>
          <cell r="F2501" t="str">
            <v>Liquid</v>
          </cell>
        </row>
        <row r="2502">
          <cell r="D2502">
            <v>5</v>
          </cell>
          <cell r="E2502">
            <v>3.3445839999999998E-2</v>
          </cell>
          <cell r="F2502" t="str">
            <v>Liquid</v>
          </cell>
        </row>
        <row r="2503">
          <cell r="D2503">
            <v>5</v>
          </cell>
          <cell r="E2503">
            <v>2.453691E-3</v>
          </cell>
          <cell r="F2503" t="str">
            <v>Liquid</v>
          </cell>
        </row>
        <row r="2504">
          <cell r="D2504">
            <v>6</v>
          </cell>
          <cell r="E2504">
            <v>9.6909660000000005E-3</v>
          </cell>
          <cell r="F2504" t="str">
            <v>Liquid</v>
          </cell>
        </row>
        <row r="2505">
          <cell r="D2505">
            <v>6</v>
          </cell>
          <cell r="E2505">
            <v>2.580078E-3</v>
          </cell>
          <cell r="F2505" t="str">
            <v>Liquid</v>
          </cell>
        </row>
        <row r="2506">
          <cell r="D2506">
            <v>6</v>
          </cell>
          <cell r="E2506">
            <v>1.918135E-4</v>
          </cell>
          <cell r="F2506" t="str">
            <v>Liquid</v>
          </cell>
        </row>
        <row r="2507">
          <cell r="D2507">
            <v>6</v>
          </cell>
          <cell r="E2507">
            <v>3.4075820000000001E-3</v>
          </cell>
          <cell r="F2507" t="str">
            <v>Liquid</v>
          </cell>
        </row>
        <row r="2508">
          <cell r="D2508">
            <v>6</v>
          </cell>
          <cell r="E2508">
            <v>7.7412260000000004E-3</v>
          </cell>
          <cell r="F2508" t="str">
            <v>Liquid</v>
          </cell>
        </row>
        <row r="2509">
          <cell r="D2509">
            <v>6</v>
          </cell>
          <cell r="E2509">
            <v>1.2977290000000001E-2</v>
          </cell>
          <cell r="F2509" t="str">
            <v>Liquid</v>
          </cell>
        </row>
        <row r="2510">
          <cell r="D2510">
            <v>6</v>
          </cell>
          <cell r="E2510">
            <v>3.540446E-3</v>
          </cell>
          <cell r="F2510" t="str">
            <v>Liquid</v>
          </cell>
        </row>
        <row r="2511">
          <cell r="D2511">
            <v>6</v>
          </cell>
          <cell r="E2511">
            <v>3.2380260000000001E-2</v>
          </cell>
          <cell r="F2511" t="str">
            <v>Liquid</v>
          </cell>
        </row>
        <row r="2512">
          <cell r="D2512">
            <v>6</v>
          </cell>
          <cell r="E2512">
            <v>1.822992E-2</v>
          </cell>
          <cell r="F2512" t="str">
            <v>Liquid</v>
          </cell>
        </row>
        <row r="2513">
          <cell r="D2513">
            <v>6</v>
          </cell>
          <cell r="E2513">
            <v>2.4536390000000001E-3</v>
          </cell>
          <cell r="F2513" t="str">
            <v>Liquid</v>
          </cell>
        </row>
        <row r="2514">
          <cell r="D2514">
            <v>0</v>
          </cell>
          <cell r="E2514">
            <v>5.4949769999999998E-3</v>
          </cell>
          <cell r="F2514" t="str">
            <v>Liquid</v>
          </cell>
        </row>
        <row r="2515">
          <cell r="D2515">
            <v>0</v>
          </cell>
          <cell r="E2515">
            <v>0.20394590000000001</v>
          </cell>
          <cell r="F2515" t="str">
            <v>Liquid</v>
          </cell>
        </row>
        <row r="2516">
          <cell r="D2516">
            <v>3</v>
          </cell>
          <cell r="E2516">
            <v>3.3817209999999999E-3</v>
          </cell>
          <cell r="F2516" t="str">
            <v>Liquid</v>
          </cell>
        </row>
        <row r="2517">
          <cell r="D2517">
            <v>4</v>
          </cell>
          <cell r="E2517">
            <v>3.7196260000000002E-3</v>
          </cell>
          <cell r="F2517" t="str">
            <v>Liquid</v>
          </cell>
        </row>
        <row r="2518">
          <cell r="D2518">
            <v>5</v>
          </cell>
          <cell r="E2518">
            <v>3.5507529999999998E-3</v>
          </cell>
          <cell r="F2518" t="str">
            <v>Liquid</v>
          </cell>
        </row>
        <row r="2519">
          <cell r="D2519">
            <v>6</v>
          </cell>
          <cell r="E2519">
            <v>2.8713469999999998E-3</v>
          </cell>
          <cell r="F2519" t="str">
            <v>Liquid</v>
          </cell>
        </row>
        <row r="2524">
          <cell r="E2524">
            <v>58.865883040023931</v>
          </cell>
        </row>
      </sheetData>
      <sheetData sheetId="3" refreshError="1"/>
      <sheetData sheetId="4">
        <row r="1">
          <cell r="C1" t="str">
            <v>Updated Name</v>
          </cell>
          <cell r="J1" t="str">
            <v>intersectMiles</v>
          </cell>
        </row>
        <row r="2">
          <cell r="C2" t="str">
            <v>N/A</v>
          </cell>
          <cell r="J2">
            <v>0.1285095</v>
          </cell>
        </row>
        <row r="3">
          <cell r="C3" t="str">
            <v>N/A</v>
          </cell>
          <cell r="J3">
            <v>0.12436270000000001</v>
          </cell>
        </row>
        <row r="4">
          <cell r="C4" t="str">
            <v>N/A</v>
          </cell>
          <cell r="J4">
            <v>2.1547730000000001E-2</v>
          </cell>
        </row>
        <row r="5">
          <cell r="C5" t="str">
            <v>N/A</v>
          </cell>
          <cell r="J5">
            <v>7.4669970000000004E-3</v>
          </cell>
        </row>
        <row r="6">
          <cell r="C6" t="str">
            <v>N/A</v>
          </cell>
          <cell r="J6">
            <v>7.6413720000000004E-2</v>
          </cell>
        </row>
        <row r="7">
          <cell r="C7" t="str">
            <v>Union Pacific</v>
          </cell>
          <cell r="J7">
            <v>6.2948820000000003E-2</v>
          </cell>
        </row>
        <row r="8">
          <cell r="C8" t="str">
            <v>Union Pacific</v>
          </cell>
          <cell r="J8">
            <v>1.3222640000000001E-2</v>
          </cell>
        </row>
        <row r="9">
          <cell r="C9" t="str">
            <v>Union Pacific</v>
          </cell>
          <cell r="J9">
            <v>0.487904</v>
          </cell>
        </row>
        <row r="10">
          <cell r="C10" t="str">
            <v>Union Pacific</v>
          </cell>
          <cell r="J10">
            <v>2.3141479999999999E-2</v>
          </cell>
        </row>
        <row r="11">
          <cell r="C11" t="str">
            <v>Union Pacific</v>
          </cell>
          <cell r="J11">
            <v>2.4826899999999999E-2</v>
          </cell>
        </row>
        <row r="12">
          <cell r="C12" t="str">
            <v>N/A</v>
          </cell>
          <cell r="J12">
            <v>7.2496720000000001E-2</v>
          </cell>
        </row>
        <row r="13">
          <cell r="C13" t="str">
            <v>N/A</v>
          </cell>
          <cell r="J13">
            <v>1.0131869999999999E-2</v>
          </cell>
        </row>
        <row r="14">
          <cell r="C14" t="str">
            <v>N/A</v>
          </cell>
          <cell r="J14">
            <v>6.3676480000000001E-3</v>
          </cell>
        </row>
        <row r="15">
          <cell r="C15" t="str">
            <v>N/A</v>
          </cell>
          <cell r="J15">
            <v>5.166217E-2</v>
          </cell>
        </row>
        <row r="16">
          <cell r="C16" t="str">
            <v>BNSF</v>
          </cell>
          <cell r="J16">
            <v>2.0954179999999999E-2</v>
          </cell>
        </row>
        <row r="17">
          <cell r="C17" t="str">
            <v>BNSF</v>
          </cell>
          <cell r="J17">
            <v>0.13725490000000001</v>
          </cell>
        </row>
        <row r="18">
          <cell r="C18" t="str">
            <v>BNSF</v>
          </cell>
          <cell r="J18">
            <v>0.2096642</v>
          </cell>
        </row>
        <row r="19">
          <cell r="C19" t="str">
            <v>BNSF</v>
          </cell>
          <cell r="J19">
            <v>4.5221579999999997E-2</v>
          </cell>
        </row>
        <row r="20">
          <cell r="C20" t="str">
            <v>BNSF</v>
          </cell>
          <cell r="J20">
            <v>2.0118210000000001E-2</v>
          </cell>
        </row>
        <row r="21">
          <cell r="C21" t="str">
            <v>BNSF</v>
          </cell>
          <cell r="J21">
            <v>6.3760559999999997E-3</v>
          </cell>
        </row>
        <row r="22">
          <cell r="C22" t="str">
            <v>BNSF</v>
          </cell>
          <cell r="J22">
            <v>1.318913E-2</v>
          </cell>
        </row>
        <row r="23">
          <cell r="C23" t="str">
            <v>BNSF</v>
          </cell>
          <cell r="J23">
            <v>0.17283390000000001</v>
          </cell>
        </row>
        <row r="24">
          <cell r="C24" t="str">
            <v>BNSF</v>
          </cell>
          <cell r="J24">
            <v>1.9435830000000001E-2</v>
          </cell>
        </row>
        <row r="25">
          <cell r="C25" t="str">
            <v>BNSF</v>
          </cell>
          <cell r="J25">
            <v>2.5634899999999999E-2</v>
          </cell>
        </row>
        <row r="26">
          <cell r="C26" t="str">
            <v>BNSF</v>
          </cell>
          <cell r="J26">
            <v>7.0492619999999997E-3</v>
          </cell>
        </row>
        <row r="27">
          <cell r="C27" t="str">
            <v>BNSF</v>
          </cell>
          <cell r="J27">
            <v>1.378825E-2</v>
          </cell>
        </row>
        <row r="28">
          <cell r="C28" t="str">
            <v>Union Pacific</v>
          </cell>
          <cell r="J28">
            <v>1.895119E-2</v>
          </cell>
        </row>
        <row r="29">
          <cell r="C29" t="str">
            <v>Union Pacific</v>
          </cell>
          <cell r="J29">
            <v>2.10218E-2</v>
          </cell>
        </row>
        <row r="30">
          <cell r="C30" t="str">
            <v>Union Pacific</v>
          </cell>
          <cell r="J30">
            <v>0.3918413</v>
          </cell>
        </row>
        <row r="31">
          <cell r="C31" t="str">
            <v>Union Pacific</v>
          </cell>
          <cell r="J31">
            <v>2.4015069999999999E-2</v>
          </cell>
        </row>
        <row r="32">
          <cell r="C32" t="str">
            <v>Union Pacific</v>
          </cell>
          <cell r="J32">
            <v>0.63385599999999998</v>
          </cell>
        </row>
        <row r="33">
          <cell r="C33" t="str">
            <v>Union Pacific</v>
          </cell>
          <cell r="J33">
            <v>0.26028319999999999</v>
          </cell>
        </row>
        <row r="34">
          <cell r="C34" t="str">
            <v>Union Pacific</v>
          </cell>
          <cell r="J34">
            <v>3.3491550000000002E-2</v>
          </cell>
        </row>
        <row r="35">
          <cell r="C35" t="str">
            <v>Union Pacific</v>
          </cell>
          <cell r="J35">
            <v>0.1227651</v>
          </cell>
        </row>
        <row r="36">
          <cell r="C36" t="str">
            <v>Union Pacific</v>
          </cell>
          <cell r="J36">
            <v>4.6509479999999999E-2</v>
          </cell>
        </row>
        <row r="37">
          <cell r="C37" t="str">
            <v>Union Pacific</v>
          </cell>
          <cell r="J37">
            <v>0.43029489999999998</v>
          </cell>
        </row>
        <row r="38">
          <cell r="C38" t="str">
            <v>Union Pacific</v>
          </cell>
          <cell r="J38">
            <v>0.34153899999999998</v>
          </cell>
        </row>
        <row r="39">
          <cell r="C39" t="str">
            <v>Union Pacific</v>
          </cell>
          <cell r="J39">
            <v>6.1440169999999999E-3</v>
          </cell>
        </row>
        <row r="40">
          <cell r="C40" t="str">
            <v>Union Pacific</v>
          </cell>
          <cell r="J40">
            <v>0.1190959</v>
          </cell>
        </row>
        <row r="41">
          <cell r="C41" t="str">
            <v>Union Pacific</v>
          </cell>
          <cell r="J41">
            <v>4.6447679999999998E-2</v>
          </cell>
        </row>
        <row r="42">
          <cell r="C42" t="str">
            <v>Union Pacific</v>
          </cell>
          <cell r="J42">
            <v>8.0343680000000001E-3</v>
          </cell>
        </row>
        <row r="43">
          <cell r="C43" t="str">
            <v>Union Pacific</v>
          </cell>
          <cell r="J43">
            <v>1.232306E-2</v>
          </cell>
        </row>
        <row r="44">
          <cell r="C44" t="str">
            <v>Union Pacific</v>
          </cell>
          <cell r="J44">
            <v>0.1529045</v>
          </cell>
        </row>
        <row r="45">
          <cell r="C45" t="str">
            <v>Union Pacific</v>
          </cell>
          <cell r="J45">
            <v>2.0475279999999998E-2</v>
          </cell>
        </row>
        <row r="46">
          <cell r="C46" t="str">
            <v>Union Pacific</v>
          </cell>
          <cell r="J46">
            <v>1.2877980000000001E-2</v>
          </cell>
        </row>
        <row r="47">
          <cell r="C47" t="str">
            <v>Union Pacific</v>
          </cell>
          <cell r="J47">
            <v>0.15986349999999999</v>
          </cell>
        </row>
        <row r="48">
          <cell r="C48" t="str">
            <v>Union Pacific</v>
          </cell>
          <cell r="J48">
            <v>1.6443030000000001E-2</v>
          </cell>
        </row>
        <row r="49">
          <cell r="C49" t="str">
            <v>Union Pacific</v>
          </cell>
          <cell r="J49">
            <v>2.8066569999999999E-2</v>
          </cell>
        </row>
        <row r="50">
          <cell r="C50" t="str">
            <v>Union Pacific</v>
          </cell>
          <cell r="J50">
            <v>2.5992839999999999E-3</v>
          </cell>
        </row>
        <row r="51">
          <cell r="C51" t="str">
            <v>N/A</v>
          </cell>
          <cell r="J51">
            <v>9.7992250000000003E-2</v>
          </cell>
        </row>
        <row r="52">
          <cell r="C52" t="str">
            <v>N/A</v>
          </cell>
          <cell r="J52">
            <v>1.4851020000000001E-3</v>
          </cell>
        </row>
        <row r="53">
          <cell r="C53" t="str">
            <v>N/A</v>
          </cell>
          <cell r="J53">
            <v>0.16870399999999999</v>
          </cell>
        </row>
        <row r="54">
          <cell r="C54" t="str">
            <v>N/A</v>
          </cell>
          <cell r="J54">
            <v>0.95212010000000002</v>
          </cell>
        </row>
        <row r="55">
          <cell r="C55" t="str">
            <v>N/A</v>
          </cell>
          <cell r="J55">
            <v>0.41055259999999999</v>
          </cell>
        </row>
        <row r="56">
          <cell r="C56" t="str">
            <v>N/A</v>
          </cell>
          <cell r="J56">
            <v>0.30663230000000002</v>
          </cell>
        </row>
        <row r="57">
          <cell r="C57" t="str">
            <v>BNSF</v>
          </cell>
          <cell r="J57">
            <v>2.107295E-2</v>
          </cell>
        </row>
        <row r="58">
          <cell r="C58" t="str">
            <v>BNSF</v>
          </cell>
          <cell r="J58">
            <v>0.78983890000000001</v>
          </cell>
        </row>
        <row r="59">
          <cell r="C59" t="str">
            <v>BNSF</v>
          </cell>
          <cell r="J59">
            <v>0.8436283</v>
          </cell>
        </row>
        <row r="60">
          <cell r="C60" t="str">
            <v>BNSF</v>
          </cell>
          <cell r="J60">
            <v>1.188241E-2</v>
          </cell>
        </row>
        <row r="61">
          <cell r="C61" t="str">
            <v>BNSF</v>
          </cell>
          <cell r="J61">
            <v>0.11942750000000001</v>
          </cell>
        </row>
        <row r="62">
          <cell r="C62" t="str">
            <v>BART</v>
          </cell>
          <cell r="J62">
            <v>0.1796423</v>
          </cell>
        </row>
        <row r="63">
          <cell r="C63" t="str">
            <v>Union Pacific</v>
          </cell>
          <cell r="J63">
            <v>0.45499260000000002</v>
          </cell>
        </row>
        <row r="64">
          <cell r="C64" t="str">
            <v>Union Pacific</v>
          </cell>
          <cell r="J64">
            <v>2.9397989999999999E-2</v>
          </cell>
        </row>
        <row r="65">
          <cell r="C65" t="str">
            <v>Union Pacific</v>
          </cell>
          <cell r="J65">
            <v>3.1834170000000002E-2</v>
          </cell>
        </row>
        <row r="66">
          <cell r="C66" t="str">
            <v>Union Pacific</v>
          </cell>
          <cell r="J66">
            <v>2.0726390000000001E-2</v>
          </cell>
        </row>
        <row r="67">
          <cell r="C67" t="str">
            <v>Union Pacific</v>
          </cell>
          <cell r="J67">
            <v>0.11701010000000001</v>
          </cell>
        </row>
        <row r="68">
          <cell r="C68" t="str">
            <v>Union Pacific</v>
          </cell>
          <cell r="J68">
            <v>9.0069140000000006E-2</v>
          </cell>
        </row>
        <row r="69">
          <cell r="C69" t="str">
            <v>Union Pacific</v>
          </cell>
          <cell r="J69">
            <v>0.46594360000000001</v>
          </cell>
        </row>
        <row r="70">
          <cell r="C70" t="str">
            <v>Union Pacific</v>
          </cell>
          <cell r="J70">
            <v>8.7732930000000001E-2</v>
          </cell>
        </row>
        <row r="71">
          <cell r="C71" t="str">
            <v>Union Pacific</v>
          </cell>
          <cell r="J71">
            <v>0.45518930000000002</v>
          </cell>
        </row>
        <row r="72">
          <cell r="C72" t="str">
            <v>Union Pacific</v>
          </cell>
          <cell r="J72">
            <v>0.56765089999999996</v>
          </cell>
        </row>
        <row r="73">
          <cell r="C73" t="str">
            <v>Union Pacific</v>
          </cell>
          <cell r="J73">
            <v>0.26170919999999998</v>
          </cell>
        </row>
        <row r="74">
          <cell r="C74" t="str">
            <v>Union Pacific</v>
          </cell>
          <cell r="J74">
            <v>3.6632289999999998E-2</v>
          </cell>
        </row>
        <row r="75">
          <cell r="C75" t="str">
            <v>Union Pacific</v>
          </cell>
          <cell r="J75">
            <v>0.81431160000000002</v>
          </cell>
        </row>
        <row r="76">
          <cell r="C76" t="str">
            <v>Union Pacific</v>
          </cell>
          <cell r="J76">
            <v>1.2177</v>
          </cell>
        </row>
        <row r="77">
          <cell r="C77" t="str">
            <v>Union Pacific</v>
          </cell>
          <cell r="J77">
            <v>6.2164709999999998E-2</v>
          </cell>
        </row>
        <row r="78">
          <cell r="C78" t="str">
            <v>Union Pacific</v>
          </cell>
          <cell r="J78">
            <v>0.2573471</v>
          </cell>
        </row>
        <row r="79">
          <cell r="C79" t="str">
            <v>Union Pacific</v>
          </cell>
          <cell r="J79">
            <v>0.41395419999999999</v>
          </cell>
        </row>
        <row r="81">
          <cell r="J81">
            <v>13.999711983999999</v>
          </cell>
        </row>
      </sheetData>
      <sheetData sheetId="5">
        <row r="1">
          <cell r="B1" t="str">
            <v>Updated Name</v>
          </cell>
          <cell r="E1" t="str">
            <v>Rise</v>
          </cell>
          <cell r="F1" t="str">
            <v>intersectMiles</v>
          </cell>
        </row>
        <row r="2">
          <cell r="B2" t="str">
            <v>N/A</v>
          </cell>
          <cell r="E2">
            <v>6</v>
          </cell>
          <cell r="F2">
            <v>2.0766969999999999E-2</v>
          </cell>
        </row>
        <row r="3">
          <cell r="B3" t="str">
            <v>N/A</v>
          </cell>
          <cell r="E3">
            <v>6</v>
          </cell>
          <cell r="F3">
            <v>4.7609749999999999E-4</v>
          </cell>
        </row>
        <row r="4">
          <cell r="B4" t="str">
            <v>N/A</v>
          </cell>
          <cell r="E4">
            <v>6</v>
          </cell>
          <cell r="F4">
            <v>1.2286949999999999E-5</v>
          </cell>
        </row>
        <row r="5">
          <cell r="B5" t="str">
            <v>N/A</v>
          </cell>
          <cell r="E5">
            <v>6</v>
          </cell>
          <cell r="F5">
            <v>5.8181480000000001E-2</v>
          </cell>
        </row>
        <row r="6">
          <cell r="B6" t="str">
            <v>N/A</v>
          </cell>
          <cell r="E6">
            <v>6</v>
          </cell>
          <cell r="F6">
            <v>1.268702E-2</v>
          </cell>
        </row>
        <row r="7">
          <cell r="B7" t="str">
            <v>N/A</v>
          </cell>
          <cell r="E7">
            <v>6</v>
          </cell>
          <cell r="F7">
            <v>1.1638900000000001E-2</v>
          </cell>
        </row>
        <row r="8">
          <cell r="B8" t="str">
            <v>N/A</v>
          </cell>
          <cell r="E8">
            <v>6</v>
          </cell>
          <cell r="F8">
            <v>6.4386039999999998E-6</v>
          </cell>
        </row>
        <row r="9">
          <cell r="B9" t="str">
            <v>N/A</v>
          </cell>
          <cell r="E9">
            <v>6</v>
          </cell>
          <cell r="F9">
            <v>4.431651E-3</v>
          </cell>
        </row>
        <row r="10">
          <cell r="B10" t="str">
            <v>N/A</v>
          </cell>
          <cell r="E10">
            <v>6</v>
          </cell>
          <cell r="F10">
            <v>2.138175E-3</v>
          </cell>
        </row>
        <row r="11">
          <cell r="B11" t="str">
            <v>N/A</v>
          </cell>
          <cell r="E11">
            <v>6</v>
          </cell>
          <cell r="F11">
            <v>1.412768E-3</v>
          </cell>
        </row>
        <row r="12">
          <cell r="B12" t="str">
            <v>N/A</v>
          </cell>
          <cell r="E12">
            <v>6</v>
          </cell>
          <cell r="F12">
            <v>4.2619570000000002E-2</v>
          </cell>
        </row>
        <row r="13">
          <cell r="B13" t="str">
            <v>N/A</v>
          </cell>
          <cell r="E13">
            <v>6</v>
          </cell>
          <cell r="F13">
            <v>2.805003E-2</v>
          </cell>
        </row>
        <row r="14">
          <cell r="B14" t="str">
            <v>N/A</v>
          </cell>
          <cell r="E14">
            <v>6</v>
          </cell>
          <cell r="F14">
            <v>2.3761919999999999E-2</v>
          </cell>
        </row>
        <row r="15">
          <cell r="B15" t="str">
            <v>N/A</v>
          </cell>
          <cell r="E15">
            <v>6</v>
          </cell>
          <cell r="F15">
            <v>2.5356480000000001E-2</v>
          </cell>
        </row>
        <row r="16">
          <cell r="B16" t="str">
            <v>N/A</v>
          </cell>
          <cell r="E16">
            <v>6</v>
          </cell>
          <cell r="F16">
            <v>6.5801670000000007E-2</v>
          </cell>
        </row>
        <row r="17">
          <cell r="B17" t="str">
            <v>N/A</v>
          </cell>
          <cell r="E17">
            <v>6</v>
          </cell>
          <cell r="F17">
            <v>1.395218E-2</v>
          </cell>
        </row>
        <row r="18">
          <cell r="B18" t="str">
            <v>N/A</v>
          </cell>
          <cell r="E18">
            <v>6</v>
          </cell>
          <cell r="F18">
            <v>5.1473140000000001E-2</v>
          </cell>
        </row>
        <row r="19">
          <cell r="B19" t="str">
            <v>N/A</v>
          </cell>
          <cell r="E19">
            <v>6</v>
          </cell>
          <cell r="F19">
            <v>9.6484169999999994E-2</v>
          </cell>
        </row>
        <row r="20">
          <cell r="B20" t="str">
            <v>N/A</v>
          </cell>
          <cell r="E20">
            <v>6</v>
          </cell>
          <cell r="F20">
            <v>2.125867E-2</v>
          </cell>
        </row>
        <row r="21">
          <cell r="B21" t="str">
            <v>N/A</v>
          </cell>
          <cell r="E21">
            <v>6</v>
          </cell>
          <cell r="F21">
            <v>1.205902E-2</v>
          </cell>
        </row>
        <row r="22">
          <cell r="B22" t="str">
            <v>N/A</v>
          </cell>
          <cell r="E22">
            <v>6</v>
          </cell>
          <cell r="F22">
            <v>2.891144E-3</v>
          </cell>
        </row>
        <row r="23">
          <cell r="B23" t="str">
            <v>N/A</v>
          </cell>
          <cell r="E23">
            <v>6</v>
          </cell>
          <cell r="F23">
            <v>5.4190349999999998E-2</v>
          </cell>
        </row>
        <row r="24">
          <cell r="B24" t="str">
            <v>N/A</v>
          </cell>
          <cell r="E24">
            <v>6</v>
          </cell>
          <cell r="F24">
            <v>1.3922459999999999E-2</v>
          </cell>
        </row>
        <row r="25">
          <cell r="B25" t="str">
            <v>N/A</v>
          </cell>
          <cell r="E25">
            <v>6</v>
          </cell>
          <cell r="F25">
            <v>3.5306640000000002E-3</v>
          </cell>
        </row>
        <row r="26">
          <cell r="B26" t="str">
            <v>N/A</v>
          </cell>
          <cell r="E26">
            <v>6</v>
          </cell>
          <cell r="F26">
            <v>2.5363960000000001E-2</v>
          </cell>
        </row>
        <row r="27">
          <cell r="B27" t="str">
            <v>N/A</v>
          </cell>
          <cell r="E27">
            <v>6</v>
          </cell>
          <cell r="F27">
            <v>9.9187749999999995E-3</v>
          </cell>
        </row>
        <row r="28">
          <cell r="B28" t="str">
            <v>N/A</v>
          </cell>
          <cell r="E28">
            <v>6</v>
          </cell>
          <cell r="F28">
            <v>4.925792E-3</v>
          </cell>
        </row>
        <row r="29">
          <cell r="B29" t="str">
            <v>N/A</v>
          </cell>
          <cell r="E29">
            <v>6</v>
          </cell>
          <cell r="F29">
            <v>2.3712469999999999E-2</v>
          </cell>
        </row>
        <row r="30">
          <cell r="B30" t="str">
            <v>N/A</v>
          </cell>
          <cell r="E30">
            <v>6</v>
          </cell>
          <cell r="F30">
            <v>3.2203470000000001E-3</v>
          </cell>
        </row>
        <row r="31">
          <cell r="B31" t="str">
            <v>N/A</v>
          </cell>
          <cell r="E31">
            <v>6</v>
          </cell>
          <cell r="F31">
            <v>1.223688E-2</v>
          </cell>
        </row>
        <row r="32">
          <cell r="B32" t="str">
            <v>N/A</v>
          </cell>
          <cell r="E32">
            <v>6</v>
          </cell>
          <cell r="F32">
            <v>1.4074770000000001E-3</v>
          </cell>
        </row>
        <row r="33">
          <cell r="B33" t="str">
            <v>N/A</v>
          </cell>
          <cell r="E33">
            <v>6</v>
          </cell>
          <cell r="F33">
            <v>6.0965060000000001E-2</v>
          </cell>
        </row>
        <row r="34">
          <cell r="B34" t="str">
            <v>N/A</v>
          </cell>
          <cell r="E34">
            <v>6</v>
          </cell>
          <cell r="F34">
            <v>4.9818809999999996E-3</v>
          </cell>
        </row>
        <row r="35">
          <cell r="B35" t="str">
            <v>N/A</v>
          </cell>
          <cell r="E35">
            <v>6</v>
          </cell>
          <cell r="F35">
            <v>1.022762E-2</v>
          </cell>
        </row>
        <row r="36">
          <cell r="B36" t="str">
            <v>N/A</v>
          </cell>
          <cell r="E36">
            <v>6</v>
          </cell>
          <cell r="F36">
            <v>1.1378849999999999E-2</v>
          </cell>
        </row>
        <row r="37">
          <cell r="B37" t="str">
            <v>N/A</v>
          </cell>
          <cell r="E37">
            <v>6</v>
          </cell>
          <cell r="F37">
            <v>1.5465819999999999E-3</v>
          </cell>
        </row>
        <row r="38">
          <cell r="B38" t="str">
            <v>N/A</v>
          </cell>
          <cell r="E38">
            <v>6</v>
          </cell>
          <cell r="F38">
            <v>1.6783830000000001E-3</v>
          </cell>
        </row>
        <row r="39">
          <cell r="B39" t="str">
            <v>N/A</v>
          </cell>
          <cell r="E39">
            <v>6</v>
          </cell>
          <cell r="F39">
            <v>1.8103570000000001E-3</v>
          </cell>
        </row>
        <row r="40">
          <cell r="B40" t="str">
            <v>N/A</v>
          </cell>
          <cell r="E40">
            <v>6</v>
          </cell>
          <cell r="F40">
            <v>1.9421200000000001E-3</v>
          </cell>
        </row>
        <row r="41">
          <cell r="B41" t="str">
            <v>N/A</v>
          </cell>
          <cell r="E41">
            <v>6</v>
          </cell>
          <cell r="F41">
            <v>2.0739579999999999E-3</v>
          </cell>
        </row>
        <row r="42">
          <cell r="B42" t="str">
            <v>N/A</v>
          </cell>
          <cell r="E42">
            <v>6</v>
          </cell>
          <cell r="F42">
            <v>1.290237E-2</v>
          </cell>
        </row>
        <row r="43">
          <cell r="B43" t="str">
            <v>N/A</v>
          </cell>
          <cell r="E43">
            <v>6</v>
          </cell>
          <cell r="F43">
            <v>1.34649E-2</v>
          </cell>
        </row>
        <row r="44">
          <cell r="B44" t="str">
            <v>N/A</v>
          </cell>
          <cell r="E44">
            <v>6</v>
          </cell>
          <cell r="F44">
            <v>3.997474E-3</v>
          </cell>
        </row>
        <row r="45">
          <cell r="B45" t="str">
            <v>N/A</v>
          </cell>
          <cell r="E45">
            <v>6</v>
          </cell>
          <cell r="F45">
            <v>8.8776549999999999E-3</v>
          </cell>
        </row>
        <row r="46">
          <cell r="B46" t="str">
            <v>N/A</v>
          </cell>
          <cell r="E46">
            <v>6</v>
          </cell>
          <cell r="F46">
            <v>7.9096510000000002E-3</v>
          </cell>
        </row>
        <row r="47">
          <cell r="B47" t="str">
            <v>N/A</v>
          </cell>
          <cell r="E47">
            <v>6</v>
          </cell>
          <cell r="F47">
            <v>2.191632E-2</v>
          </cell>
        </row>
        <row r="48">
          <cell r="B48" t="str">
            <v>N/A</v>
          </cell>
          <cell r="E48">
            <v>6</v>
          </cell>
          <cell r="F48">
            <v>5.8591789999999998E-2</v>
          </cell>
        </row>
        <row r="49">
          <cell r="B49" t="str">
            <v>N/A</v>
          </cell>
          <cell r="E49">
            <v>6</v>
          </cell>
          <cell r="F49">
            <v>3.920717E-2</v>
          </cell>
        </row>
        <row r="50">
          <cell r="B50" t="str">
            <v>N/A</v>
          </cell>
          <cell r="E50">
            <v>6</v>
          </cell>
          <cell r="F50">
            <v>2.5440999999999998E-2</v>
          </cell>
        </row>
        <row r="51">
          <cell r="B51" t="str">
            <v>N/A</v>
          </cell>
          <cell r="E51">
            <v>6</v>
          </cell>
          <cell r="F51">
            <v>1.7397409999999999E-3</v>
          </cell>
        </row>
        <row r="52">
          <cell r="B52" t="str">
            <v>N/A</v>
          </cell>
          <cell r="E52">
            <v>6</v>
          </cell>
          <cell r="F52">
            <v>4.3043509999999999E-4</v>
          </cell>
        </row>
        <row r="53">
          <cell r="B53" t="str">
            <v>N/A</v>
          </cell>
          <cell r="E53">
            <v>6</v>
          </cell>
          <cell r="F53">
            <v>1.939776E-3</v>
          </cell>
        </row>
        <row r="54">
          <cell r="B54" t="str">
            <v>N/A</v>
          </cell>
          <cell r="E54">
            <v>6</v>
          </cell>
          <cell r="F54">
            <v>6.2680619999999996E-3</v>
          </cell>
        </row>
        <row r="55">
          <cell r="B55" t="str">
            <v>N/A</v>
          </cell>
          <cell r="E55">
            <v>6</v>
          </cell>
          <cell r="F55">
            <v>1.7495759999999999E-4</v>
          </cell>
        </row>
        <row r="56">
          <cell r="B56" t="str">
            <v>N/A</v>
          </cell>
          <cell r="E56">
            <v>6</v>
          </cell>
          <cell r="F56">
            <v>4.1794329999999998E-3</v>
          </cell>
        </row>
        <row r="57">
          <cell r="B57" t="str">
            <v>N/A</v>
          </cell>
          <cell r="E57">
            <v>6</v>
          </cell>
          <cell r="F57">
            <v>8.8501329999999996E-3</v>
          </cell>
        </row>
        <row r="58">
          <cell r="B58" t="str">
            <v>N/A</v>
          </cell>
          <cell r="E58">
            <v>6</v>
          </cell>
          <cell r="F58">
            <v>0.17571639999999999</v>
          </cell>
        </row>
        <row r="59">
          <cell r="B59" t="str">
            <v>N/A</v>
          </cell>
          <cell r="E59">
            <v>6</v>
          </cell>
          <cell r="F59">
            <v>8.2953799999999998E-3</v>
          </cell>
        </row>
        <row r="60">
          <cell r="B60" t="str">
            <v>N/A</v>
          </cell>
          <cell r="E60">
            <v>6</v>
          </cell>
          <cell r="F60">
            <v>3.080807E-2</v>
          </cell>
        </row>
        <row r="61">
          <cell r="B61" t="str">
            <v>N/A</v>
          </cell>
          <cell r="E61">
            <v>6</v>
          </cell>
          <cell r="F61">
            <v>1.2793240000000001E-2</v>
          </cell>
        </row>
        <row r="62">
          <cell r="B62" t="str">
            <v>N/A</v>
          </cell>
          <cell r="E62">
            <v>6</v>
          </cell>
          <cell r="F62">
            <v>1.648432E-2</v>
          </cell>
        </row>
        <row r="63">
          <cell r="B63" t="str">
            <v>N/A</v>
          </cell>
          <cell r="E63">
            <v>6</v>
          </cell>
          <cell r="F63">
            <v>9.5949290000000003E-3</v>
          </cell>
        </row>
        <row r="64">
          <cell r="B64" t="str">
            <v>N/A</v>
          </cell>
          <cell r="E64">
            <v>6</v>
          </cell>
          <cell r="F64">
            <v>6.3965599999999999E-3</v>
          </cell>
        </row>
        <row r="65">
          <cell r="B65" t="str">
            <v>N/A</v>
          </cell>
          <cell r="E65">
            <v>6</v>
          </cell>
          <cell r="F65">
            <v>9.5949899999999994E-3</v>
          </cell>
        </row>
        <row r="66">
          <cell r="B66" t="str">
            <v>N/A</v>
          </cell>
          <cell r="E66">
            <v>6</v>
          </cell>
          <cell r="F66">
            <v>3.7591869999999999E-2</v>
          </cell>
        </row>
        <row r="67">
          <cell r="B67" t="str">
            <v>N/A</v>
          </cell>
          <cell r="E67">
            <v>6</v>
          </cell>
          <cell r="F67">
            <v>1.483758E-3</v>
          </cell>
        </row>
        <row r="68">
          <cell r="B68" t="str">
            <v>N/A</v>
          </cell>
          <cell r="E68">
            <v>6</v>
          </cell>
          <cell r="F68">
            <v>2.7718940000000001E-2</v>
          </cell>
        </row>
        <row r="69">
          <cell r="B69" t="str">
            <v>N/A</v>
          </cell>
          <cell r="E69">
            <v>6</v>
          </cell>
          <cell r="F69">
            <v>2.5810659999999999E-3</v>
          </cell>
        </row>
        <row r="70">
          <cell r="B70" t="str">
            <v>N/A</v>
          </cell>
          <cell r="E70">
            <v>6</v>
          </cell>
          <cell r="F70">
            <v>6.5815580000000004E-3</v>
          </cell>
        </row>
        <row r="71">
          <cell r="B71" t="str">
            <v>N/A</v>
          </cell>
          <cell r="E71">
            <v>6</v>
          </cell>
          <cell r="F71">
            <v>0.26059939999999998</v>
          </cell>
        </row>
        <row r="72">
          <cell r="B72" t="str">
            <v>N/A</v>
          </cell>
          <cell r="E72">
            <v>6</v>
          </cell>
          <cell r="F72">
            <v>5.8899219999999997E-3</v>
          </cell>
        </row>
        <row r="73">
          <cell r="B73" t="str">
            <v>N/A</v>
          </cell>
          <cell r="E73">
            <v>6</v>
          </cell>
          <cell r="F73">
            <v>7.761759E-2</v>
          </cell>
        </row>
        <row r="74">
          <cell r="B74" t="str">
            <v>N/A</v>
          </cell>
          <cell r="E74">
            <v>6</v>
          </cell>
          <cell r="F74">
            <v>1.0083760000000001E-2</v>
          </cell>
        </row>
        <row r="75">
          <cell r="B75" t="str">
            <v>N/A</v>
          </cell>
          <cell r="E75">
            <v>6</v>
          </cell>
          <cell r="F75">
            <v>7.3668170000000003E-3</v>
          </cell>
        </row>
        <row r="76">
          <cell r="B76" t="str">
            <v>N/A</v>
          </cell>
          <cell r="E76">
            <v>6</v>
          </cell>
          <cell r="F76">
            <v>8.3246529999999999E-2</v>
          </cell>
        </row>
        <row r="77">
          <cell r="B77" t="str">
            <v>N/A</v>
          </cell>
          <cell r="E77">
            <v>6</v>
          </cell>
          <cell r="F77">
            <v>1.6278009999999999E-3</v>
          </cell>
        </row>
        <row r="78">
          <cell r="B78" t="str">
            <v>N/A</v>
          </cell>
          <cell r="E78">
            <v>6</v>
          </cell>
          <cell r="F78">
            <v>1.8326269999999999E-2</v>
          </cell>
        </row>
        <row r="79">
          <cell r="B79" t="str">
            <v>N/A</v>
          </cell>
          <cell r="E79">
            <v>6</v>
          </cell>
          <cell r="F79">
            <v>4.7719249999999998E-2</v>
          </cell>
        </row>
        <row r="80">
          <cell r="B80" t="str">
            <v>N/A</v>
          </cell>
          <cell r="E80">
            <v>6</v>
          </cell>
          <cell r="F80">
            <v>7.1205900000000003E-2</v>
          </cell>
        </row>
        <row r="81">
          <cell r="B81" t="str">
            <v>N/A</v>
          </cell>
          <cell r="E81">
            <v>6</v>
          </cell>
          <cell r="F81">
            <v>3.5700120000000002E-2</v>
          </cell>
        </row>
        <row r="82">
          <cell r="B82" t="str">
            <v>N/A</v>
          </cell>
          <cell r="E82">
            <v>6</v>
          </cell>
          <cell r="F82">
            <v>8.3589749999999994E-3</v>
          </cell>
        </row>
        <row r="83">
          <cell r="B83" t="str">
            <v>N/A</v>
          </cell>
          <cell r="E83">
            <v>6</v>
          </cell>
          <cell r="F83">
            <v>5.8458049999999998E-2</v>
          </cell>
        </row>
        <row r="84">
          <cell r="B84" t="str">
            <v>N/A</v>
          </cell>
          <cell r="E84">
            <v>6</v>
          </cell>
          <cell r="F84">
            <v>3.4653709999999997E-2</v>
          </cell>
        </row>
        <row r="85">
          <cell r="B85" t="str">
            <v>N/A</v>
          </cell>
          <cell r="E85">
            <v>6</v>
          </cell>
          <cell r="F85">
            <v>2.5956759999999999E-2</v>
          </cell>
        </row>
        <row r="86">
          <cell r="B86" t="str">
            <v>N/A</v>
          </cell>
          <cell r="E86">
            <v>6</v>
          </cell>
          <cell r="F86">
            <v>2.945615E-3</v>
          </cell>
        </row>
        <row r="87">
          <cell r="B87" t="str">
            <v>N/A</v>
          </cell>
          <cell r="E87">
            <v>6</v>
          </cell>
          <cell r="F87">
            <v>1.97737E-3</v>
          </cell>
        </row>
        <row r="88">
          <cell r="B88" t="str">
            <v>N/A</v>
          </cell>
          <cell r="E88">
            <v>6</v>
          </cell>
          <cell r="F88">
            <v>3.2626290000000002E-2</v>
          </cell>
        </row>
        <row r="89">
          <cell r="B89" t="str">
            <v>N/A</v>
          </cell>
          <cell r="E89">
            <v>6</v>
          </cell>
          <cell r="F89">
            <v>4.0368280000000001E-3</v>
          </cell>
        </row>
        <row r="90">
          <cell r="B90" t="str">
            <v>N/A</v>
          </cell>
          <cell r="E90">
            <v>6</v>
          </cell>
          <cell r="F90">
            <v>9.813147999999999E-4</v>
          </cell>
        </row>
        <row r="91">
          <cell r="B91" t="str">
            <v>N/A</v>
          </cell>
          <cell r="E91">
            <v>6</v>
          </cell>
          <cell r="F91">
            <v>1.7435809999999999E-3</v>
          </cell>
        </row>
        <row r="92">
          <cell r="B92" t="str">
            <v>N/A</v>
          </cell>
          <cell r="E92">
            <v>6</v>
          </cell>
          <cell r="F92">
            <v>3.0596600000000001E-3</v>
          </cell>
        </row>
        <row r="93">
          <cell r="B93" t="str">
            <v>N/A</v>
          </cell>
          <cell r="E93">
            <v>6</v>
          </cell>
          <cell r="F93">
            <v>1.2161969999999999E-2</v>
          </cell>
        </row>
        <row r="94">
          <cell r="B94" t="str">
            <v>N/A</v>
          </cell>
          <cell r="E94">
            <v>6</v>
          </cell>
          <cell r="F94">
            <v>5.455672E-3</v>
          </cell>
        </row>
        <row r="95">
          <cell r="B95" t="str">
            <v>N/A</v>
          </cell>
          <cell r="E95">
            <v>6</v>
          </cell>
          <cell r="F95">
            <v>2.7499289999999999E-3</v>
          </cell>
        </row>
        <row r="96">
          <cell r="B96" t="str">
            <v>N/A</v>
          </cell>
          <cell r="E96">
            <v>6</v>
          </cell>
          <cell r="F96">
            <v>3.336547E-3</v>
          </cell>
        </row>
        <row r="97">
          <cell r="B97" t="str">
            <v>N/A</v>
          </cell>
          <cell r="E97">
            <v>6</v>
          </cell>
          <cell r="F97">
            <v>3.0369849999999999E-3</v>
          </cell>
        </row>
        <row r="98">
          <cell r="B98" t="str">
            <v>N/A</v>
          </cell>
          <cell r="E98">
            <v>6</v>
          </cell>
          <cell r="F98">
            <v>4.8722069999999998E-4</v>
          </cell>
        </row>
        <row r="99">
          <cell r="B99" t="str">
            <v>N/A</v>
          </cell>
          <cell r="E99">
            <v>6</v>
          </cell>
          <cell r="F99">
            <v>1.295551E-3</v>
          </cell>
        </row>
        <row r="100">
          <cell r="B100" t="str">
            <v>N/A</v>
          </cell>
          <cell r="E100">
            <v>6</v>
          </cell>
          <cell r="F100">
            <v>1.046761E-3</v>
          </cell>
        </row>
        <row r="101">
          <cell r="B101" t="str">
            <v>N/A</v>
          </cell>
          <cell r="E101">
            <v>6</v>
          </cell>
          <cell r="F101">
            <v>4.0131430000000003E-3</v>
          </cell>
        </row>
        <row r="102">
          <cell r="B102" t="str">
            <v>N/A</v>
          </cell>
          <cell r="E102">
            <v>6</v>
          </cell>
          <cell r="F102">
            <v>1.242528E-2</v>
          </cell>
        </row>
        <row r="103">
          <cell r="B103" t="str">
            <v>N/A</v>
          </cell>
          <cell r="E103">
            <v>6</v>
          </cell>
          <cell r="F103">
            <v>2.5073890000000001E-2</v>
          </cell>
        </row>
        <row r="104">
          <cell r="B104" t="str">
            <v>N/A</v>
          </cell>
          <cell r="E104">
            <v>6</v>
          </cell>
          <cell r="F104">
            <v>1.394039E-2</v>
          </cell>
        </row>
        <row r="105">
          <cell r="B105" t="str">
            <v>N/A</v>
          </cell>
          <cell r="E105">
            <v>6</v>
          </cell>
          <cell r="F105">
            <v>3.5258850000000001E-2</v>
          </cell>
        </row>
        <row r="106">
          <cell r="B106" t="str">
            <v>N/A</v>
          </cell>
          <cell r="E106">
            <v>6</v>
          </cell>
          <cell r="F106">
            <v>8.0890839999999999E-3</v>
          </cell>
        </row>
        <row r="107">
          <cell r="B107" t="str">
            <v>N/A</v>
          </cell>
          <cell r="E107">
            <v>6</v>
          </cell>
          <cell r="F107">
            <v>3.9978160000000004E-3</v>
          </cell>
        </row>
        <row r="108">
          <cell r="B108" t="str">
            <v>N/A</v>
          </cell>
          <cell r="E108">
            <v>6</v>
          </cell>
          <cell r="F108">
            <v>1.1993510000000001E-2</v>
          </cell>
        </row>
        <row r="109">
          <cell r="B109" t="str">
            <v>N/A</v>
          </cell>
          <cell r="E109">
            <v>6</v>
          </cell>
          <cell r="F109">
            <v>1.142843E-2</v>
          </cell>
        </row>
        <row r="110">
          <cell r="B110" t="str">
            <v>N/A</v>
          </cell>
          <cell r="E110">
            <v>6</v>
          </cell>
          <cell r="F110">
            <v>3.956294E-3</v>
          </cell>
        </row>
        <row r="111">
          <cell r="B111" t="str">
            <v>N/A</v>
          </cell>
          <cell r="E111">
            <v>6</v>
          </cell>
          <cell r="F111">
            <v>1.9822270000000001E-4</v>
          </cell>
        </row>
        <row r="112">
          <cell r="B112" t="str">
            <v>N/A</v>
          </cell>
          <cell r="E112">
            <v>6</v>
          </cell>
          <cell r="F112">
            <v>1.587469E-2</v>
          </cell>
        </row>
        <row r="113">
          <cell r="B113" t="str">
            <v>N/A</v>
          </cell>
          <cell r="E113">
            <v>6</v>
          </cell>
          <cell r="F113">
            <v>2.2305279999999999E-3</v>
          </cell>
        </row>
        <row r="114">
          <cell r="B114" t="str">
            <v>N/A</v>
          </cell>
          <cell r="E114">
            <v>6</v>
          </cell>
          <cell r="F114">
            <v>3.8209000000000002E-4</v>
          </cell>
        </row>
        <row r="115">
          <cell r="B115" t="str">
            <v>N/A</v>
          </cell>
          <cell r="E115">
            <v>6</v>
          </cell>
          <cell r="F115">
            <v>7.6558859999999998E-4</v>
          </cell>
        </row>
        <row r="116">
          <cell r="B116" t="str">
            <v>N/A</v>
          </cell>
          <cell r="E116">
            <v>6</v>
          </cell>
          <cell r="F116">
            <v>1.148952E-3</v>
          </cell>
        </row>
        <row r="117">
          <cell r="B117" t="str">
            <v>N/A</v>
          </cell>
          <cell r="E117">
            <v>6</v>
          </cell>
          <cell r="F117">
            <v>1.532673E-3</v>
          </cell>
        </row>
        <row r="118">
          <cell r="B118" t="str">
            <v>N/A</v>
          </cell>
          <cell r="E118">
            <v>6</v>
          </cell>
          <cell r="F118">
            <v>3.7469549999999997E-2</v>
          </cell>
        </row>
        <row r="119">
          <cell r="B119" t="str">
            <v>Abandoned Railroad</v>
          </cell>
          <cell r="E119">
            <v>6</v>
          </cell>
          <cell r="F119">
            <v>3.5913380000000002E-2</v>
          </cell>
        </row>
        <row r="120">
          <cell r="B120" t="str">
            <v>Abandoned Railroad</v>
          </cell>
          <cell r="E120">
            <v>6</v>
          </cell>
          <cell r="F120">
            <v>2.8376620000000002E-2</v>
          </cell>
        </row>
        <row r="121">
          <cell r="B121" t="str">
            <v>Abandoned Railroad</v>
          </cell>
          <cell r="E121">
            <v>6</v>
          </cell>
          <cell r="F121">
            <v>3.8760009999999998E-2</v>
          </cell>
        </row>
        <row r="122">
          <cell r="B122" t="str">
            <v>BNSF</v>
          </cell>
          <cell r="E122">
            <v>6</v>
          </cell>
          <cell r="F122">
            <v>3.6778129999999998E-3</v>
          </cell>
        </row>
        <row r="123">
          <cell r="B123" t="str">
            <v>BNSF</v>
          </cell>
          <cell r="E123">
            <v>6</v>
          </cell>
          <cell r="F123">
            <v>6.5471750000000003E-4</v>
          </cell>
        </row>
        <row r="124">
          <cell r="B124" t="str">
            <v>BNSF</v>
          </cell>
          <cell r="E124">
            <v>6</v>
          </cell>
          <cell r="F124">
            <v>1.463455E-3</v>
          </cell>
        </row>
        <row r="125">
          <cell r="B125" t="str">
            <v>BNSF</v>
          </cell>
          <cell r="E125">
            <v>6</v>
          </cell>
          <cell r="F125">
            <v>3.2201529999999999E-3</v>
          </cell>
        </row>
        <row r="126">
          <cell r="B126" t="str">
            <v>BNSF</v>
          </cell>
          <cell r="E126">
            <v>6</v>
          </cell>
          <cell r="F126">
            <v>8.2188560000000001E-3</v>
          </cell>
        </row>
        <row r="127">
          <cell r="B127" t="str">
            <v>BNSF</v>
          </cell>
          <cell r="E127">
            <v>6</v>
          </cell>
          <cell r="F127">
            <v>4.1721600000000003E-3</v>
          </cell>
        </row>
        <row r="128">
          <cell r="B128" t="str">
            <v>BNSF</v>
          </cell>
          <cell r="E128">
            <v>6</v>
          </cell>
          <cell r="F128">
            <v>4.0968749999999998E-3</v>
          </cell>
        </row>
        <row r="129">
          <cell r="B129" t="str">
            <v>BNSF</v>
          </cell>
          <cell r="E129">
            <v>6</v>
          </cell>
          <cell r="F129">
            <v>8.1755109999999999E-3</v>
          </cell>
        </row>
        <row r="130">
          <cell r="B130" t="str">
            <v>BNSF</v>
          </cell>
          <cell r="E130">
            <v>6</v>
          </cell>
          <cell r="F130">
            <v>9.8270979999999994E-2</v>
          </cell>
        </row>
        <row r="131">
          <cell r="B131" t="str">
            <v>BNSF</v>
          </cell>
          <cell r="E131">
            <v>6</v>
          </cell>
          <cell r="F131">
            <v>0.119986</v>
          </cell>
        </row>
        <row r="132">
          <cell r="B132" t="str">
            <v>BNSF</v>
          </cell>
          <cell r="E132">
            <v>6</v>
          </cell>
          <cell r="F132">
            <v>6.9753289999999996E-2</v>
          </cell>
        </row>
        <row r="133">
          <cell r="B133" t="str">
            <v>BNSF</v>
          </cell>
          <cell r="E133">
            <v>6</v>
          </cell>
          <cell r="F133">
            <v>1.104493E-2</v>
          </cell>
        </row>
        <row r="134">
          <cell r="B134" t="str">
            <v>BNSF</v>
          </cell>
          <cell r="E134">
            <v>6</v>
          </cell>
          <cell r="F134">
            <v>9.4150270000000003E-5</v>
          </cell>
        </row>
        <row r="135">
          <cell r="B135" t="str">
            <v>BNSF</v>
          </cell>
          <cell r="E135">
            <v>6</v>
          </cell>
          <cell r="F135">
            <v>8.7479370000000003E-4</v>
          </cell>
        </row>
        <row r="136">
          <cell r="B136" t="str">
            <v>BNSF</v>
          </cell>
          <cell r="E136">
            <v>6</v>
          </cell>
          <cell r="F136">
            <v>1.878242E-3</v>
          </cell>
        </row>
        <row r="137">
          <cell r="B137" t="str">
            <v>BNSF</v>
          </cell>
          <cell r="E137">
            <v>6</v>
          </cell>
          <cell r="F137">
            <v>1.470124E-3</v>
          </cell>
        </row>
        <row r="138">
          <cell r="B138" t="str">
            <v>BNSF</v>
          </cell>
          <cell r="E138">
            <v>6</v>
          </cell>
          <cell r="F138">
            <v>4.6762719999999999E-4</v>
          </cell>
        </row>
        <row r="139">
          <cell r="B139" t="str">
            <v>BNSF</v>
          </cell>
          <cell r="E139">
            <v>6</v>
          </cell>
          <cell r="F139">
            <v>8.6854499999999997E-4</v>
          </cell>
        </row>
        <row r="140">
          <cell r="B140" t="str">
            <v>BNSF</v>
          </cell>
          <cell r="E140">
            <v>6</v>
          </cell>
          <cell r="F140">
            <v>9.1850879999999996E-2</v>
          </cell>
        </row>
        <row r="141">
          <cell r="B141" t="str">
            <v>BNSF</v>
          </cell>
          <cell r="E141">
            <v>6</v>
          </cell>
          <cell r="F141">
            <v>3.5336680000000002E-2</v>
          </cell>
        </row>
        <row r="142">
          <cell r="B142" t="str">
            <v>BNSF</v>
          </cell>
          <cell r="E142">
            <v>6</v>
          </cell>
          <cell r="F142">
            <v>2.044412E-2</v>
          </cell>
        </row>
        <row r="143">
          <cell r="B143" t="str">
            <v>BNSF</v>
          </cell>
          <cell r="E143">
            <v>6</v>
          </cell>
          <cell r="F143">
            <v>3.8817669999999999E-3</v>
          </cell>
        </row>
        <row r="144">
          <cell r="B144" t="str">
            <v>BNSF</v>
          </cell>
          <cell r="E144">
            <v>6</v>
          </cell>
          <cell r="F144">
            <v>3.3183499999999999E-3</v>
          </cell>
        </row>
        <row r="145">
          <cell r="B145" t="str">
            <v>BNSF</v>
          </cell>
          <cell r="E145">
            <v>6</v>
          </cell>
          <cell r="F145">
            <v>3.1127250000000002E-3</v>
          </cell>
        </row>
        <row r="146">
          <cell r="B146" t="str">
            <v>BNSF</v>
          </cell>
          <cell r="E146">
            <v>6</v>
          </cell>
          <cell r="F146">
            <v>7.1276790000000007E-2</v>
          </cell>
        </row>
        <row r="147">
          <cell r="B147" t="str">
            <v>BNSF</v>
          </cell>
          <cell r="E147">
            <v>6</v>
          </cell>
          <cell r="F147">
            <v>9.4048229999999997E-2</v>
          </cell>
        </row>
        <row r="148">
          <cell r="B148" t="str">
            <v>BNSF</v>
          </cell>
          <cell r="E148">
            <v>6</v>
          </cell>
          <cell r="F148">
            <v>0.1065115</v>
          </cell>
        </row>
        <row r="149">
          <cell r="B149" t="str">
            <v>BNSF</v>
          </cell>
          <cell r="E149">
            <v>6</v>
          </cell>
          <cell r="F149">
            <v>0.107747</v>
          </cell>
        </row>
        <row r="150">
          <cell r="B150" t="str">
            <v>BNSF</v>
          </cell>
          <cell r="E150">
            <v>6</v>
          </cell>
          <cell r="F150">
            <v>3.2189549999999999E-3</v>
          </cell>
        </row>
        <row r="151">
          <cell r="B151" t="str">
            <v>BNSF</v>
          </cell>
          <cell r="E151">
            <v>6</v>
          </cell>
          <cell r="F151">
            <v>4.9489310000000002E-2</v>
          </cell>
        </row>
        <row r="152">
          <cell r="B152" t="str">
            <v>BNSF</v>
          </cell>
          <cell r="E152">
            <v>6</v>
          </cell>
          <cell r="F152">
            <v>2.0246920000000002E-2</v>
          </cell>
        </row>
        <row r="153">
          <cell r="B153" t="str">
            <v>BNSF</v>
          </cell>
          <cell r="E153">
            <v>6</v>
          </cell>
          <cell r="F153">
            <v>4.6825129999999998E-4</v>
          </cell>
        </row>
        <row r="154">
          <cell r="B154" t="str">
            <v>BNSF</v>
          </cell>
          <cell r="E154">
            <v>6</v>
          </cell>
          <cell r="F154">
            <v>8.7069209999999994E-2</v>
          </cell>
        </row>
        <row r="155">
          <cell r="B155" t="str">
            <v>BNSF</v>
          </cell>
          <cell r="E155">
            <v>6</v>
          </cell>
          <cell r="F155">
            <v>0.27470709999999998</v>
          </cell>
        </row>
        <row r="156">
          <cell r="B156" t="str">
            <v>BNSF</v>
          </cell>
          <cell r="E156">
            <v>6</v>
          </cell>
          <cell r="F156">
            <v>4.1502220000000003E-3</v>
          </cell>
        </row>
        <row r="157">
          <cell r="B157" t="str">
            <v>BNSF</v>
          </cell>
          <cell r="E157">
            <v>6</v>
          </cell>
          <cell r="F157">
            <v>1.576243E-3</v>
          </cell>
        </row>
        <row r="158">
          <cell r="B158" t="str">
            <v>BNSF</v>
          </cell>
          <cell r="E158">
            <v>6</v>
          </cell>
          <cell r="F158">
            <v>6.0563489999999995E-4</v>
          </cell>
        </row>
        <row r="159">
          <cell r="B159" t="str">
            <v>BNSF</v>
          </cell>
          <cell r="E159">
            <v>6</v>
          </cell>
          <cell r="F159">
            <v>2.4133359999999999E-3</v>
          </cell>
        </row>
        <row r="160">
          <cell r="B160" t="str">
            <v>BNSF</v>
          </cell>
          <cell r="E160">
            <v>6</v>
          </cell>
          <cell r="F160">
            <v>4.2213659999999998E-3</v>
          </cell>
        </row>
        <row r="161">
          <cell r="B161" t="str">
            <v>BNSF</v>
          </cell>
          <cell r="E161">
            <v>6</v>
          </cell>
          <cell r="F161">
            <v>3.2507059999999999E-3</v>
          </cell>
        </row>
        <row r="162">
          <cell r="B162" t="str">
            <v>BNSF</v>
          </cell>
          <cell r="E162">
            <v>6</v>
          </cell>
          <cell r="F162">
            <v>4.3803710000000001E-3</v>
          </cell>
        </row>
        <row r="163">
          <cell r="B163" t="str">
            <v>BNSF</v>
          </cell>
          <cell r="E163">
            <v>6</v>
          </cell>
          <cell r="F163">
            <v>5.35098E-3</v>
          </cell>
        </row>
        <row r="164">
          <cell r="B164" t="str">
            <v>BNSF</v>
          </cell>
          <cell r="E164">
            <v>6</v>
          </cell>
          <cell r="F164">
            <v>1.6019230000000001E-3</v>
          </cell>
        </row>
        <row r="165">
          <cell r="B165" t="str">
            <v>BNSF</v>
          </cell>
          <cell r="E165">
            <v>6</v>
          </cell>
          <cell r="F165">
            <v>4.5804690000000002E-3</v>
          </cell>
        </row>
        <row r="166">
          <cell r="B166" t="str">
            <v>BNSF</v>
          </cell>
          <cell r="E166">
            <v>6</v>
          </cell>
          <cell r="F166">
            <v>2.0028250000000002E-3</v>
          </cell>
        </row>
        <row r="167">
          <cell r="B167" t="str">
            <v>BNSF</v>
          </cell>
          <cell r="E167">
            <v>6</v>
          </cell>
          <cell r="F167">
            <v>1.307817E-3</v>
          </cell>
        </row>
        <row r="168">
          <cell r="B168" t="str">
            <v>BNSF</v>
          </cell>
          <cell r="E168">
            <v>6</v>
          </cell>
          <cell r="F168">
            <v>6.1298259999999997E-4</v>
          </cell>
        </row>
        <row r="169">
          <cell r="B169" t="str">
            <v>BNSF</v>
          </cell>
          <cell r="E169">
            <v>6</v>
          </cell>
          <cell r="F169">
            <v>2.6714080000000001E-3</v>
          </cell>
        </row>
        <row r="170">
          <cell r="B170" t="str">
            <v>BNSF</v>
          </cell>
          <cell r="E170">
            <v>6</v>
          </cell>
          <cell r="F170">
            <v>2.2886820000000002E-3</v>
          </cell>
        </row>
        <row r="171">
          <cell r="B171" t="str">
            <v>BNSF</v>
          </cell>
          <cell r="E171">
            <v>6</v>
          </cell>
          <cell r="F171">
            <v>1.9384999999999999E-3</v>
          </cell>
        </row>
        <row r="172">
          <cell r="B172" t="str">
            <v>BNSF</v>
          </cell>
          <cell r="E172">
            <v>6</v>
          </cell>
          <cell r="F172">
            <v>1.5882680000000001E-3</v>
          </cell>
        </row>
        <row r="173">
          <cell r="B173" t="str">
            <v>BNSF</v>
          </cell>
          <cell r="E173">
            <v>6</v>
          </cell>
          <cell r="F173">
            <v>1.237899E-3</v>
          </cell>
        </row>
        <row r="174">
          <cell r="B174" t="str">
            <v>BNSF</v>
          </cell>
          <cell r="E174">
            <v>6</v>
          </cell>
          <cell r="F174">
            <v>3.9774359999999998E-4</v>
          </cell>
        </row>
        <row r="175">
          <cell r="B175" t="str">
            <v>BNSF</v>
          </cell>
          <cell r="E175">
            <v>6</v>
          </cell>
          <cell r="F175">
            <v>5.9553350000000004E-4</v>
          </cell>
        </row>
        <row r="176">
          <cell r="B176" t="str">
            <v>BNSF</v>
          </cell>
          <cell r="E176">
            <v>6</v>
          </cell>
          <cell r="F176">
            <v>7.9332329999999996E-4</v>
          </cell>
        </row>
        <row r="177">
          <cell r="B177" t="str">
            <v>BNSF</v>
          </cell>
          <cell r="E177">
            <v>6</v>
          </cell>
          <cell r="F177">
            <v>2.9175289999999999E-3</v>
          </cell>
        </row>
        <row r="178">
          <cell r="B178" t="str">
            <v>BNSF</v>
          </cell>
          <cell r="E178">
            <v>6</v>
          </cell>
          <cell r="F178">
            <v>3.1154059999999998E-3</v>
          </cell>
        </row>
        <row r="179">
          <cell r="B179" t="str">
            <v>BNSF</v>
          </cell>
          <cell r="E179">
            <v>6</v>
          </cell>
          <cell r="F179">
            <v>3.3131089999999998E-3</v>
          </cell>
        </row>
        <row r="180">
          <cell r="B180" t="str">
            <v>BNSF</v>
          </cell>
          <cell r="E180">
            <v>6</v>
          </cell>
          <cell r="F180">
            <v>4.0506220000000003E-3</v>
          </cell>
        </row>
        <row r="181">
          <cell r="B181" t="str">
            <v>BNSF</v>
          </cell>
          <cell r="E181">
            <v>6</v>
          </cell>
          <cell r="F181">
            <v>2.663842E-3</v>
          </cell>
        </row>
        <row r="182">
          <cell r="B182" t="str">
            <v>BNSF</v>
          </cell>
          <cell r="E182">
            <v>6</v>
          </cell>
          <cell r="F182">
            <v>4.0506220000000003E-3</v>
          </cell>
        </row>
        <row r="183">
          <cell r="B183" t="str">
            <v>BNSF</v>
          </cell>
          <cell r="E183">
            <v>6</v>
          </cell>
          <cell r="F183">
            <v>2.8074049999999998E-3</v>
          </cell>
        </row>
        <row r="184">
          <cell r="B184" t="str">
            <v>BNSF</v>
          </cell>
          <cell r="E184">
            <v>6</v>
          </cell>
          <cell r="F184">
            <v>2.2680790000000001E-3</v>
          </cell>
        </row>
        <row r="185">
          <cell r="B185" t="str">
            <v>BNSF</v>
          </cell>
          <cell r="E185">
            <v>6</v>
          </cell>
          <cell r="F185">
            <v>4.0506220000000003E-3</v>
          </cell>
        </row>
        <row r="186">
          <cell r="B186" t="str">
            <v>BNSF</v>
          </cell>
          <cell r="E186">
            <v>6</v>
          </cell>
          <cell r="F186">
            <v>3.9426130000000002E-3</v>
          </cell>
        </row>
        <row r="187">
          <cell r="B187" t="str">
            <v>BNSF</v>
          </cell>
          <cell r="E187">
            <v>6</v>
          </cell>
          <cell r="F187">
            <v>3.991456E-3</v>
          </cell>
        </row>
        <row r="188">
          <cell r="B188" t="str">
            <v>BNSF</v>
          </cell>
          <cell r="E188">
            <v>6</v>
          </cell>
          <cell r="F188">
            <v>2.6074750000000002E-3</v>
          </cell>
        </row>
        <row r="189">
          <cell r="B189" t="str">
            <v>BNSF</v>
          </cell>
          <cell r="E189">
            <v>6</v>
          </cell>
          <cell r="F189">
            <v>1.957828E-3</v>
          </cell>
        </row>
        <row r="190">
          <cell r="B190" t="str">
            <v>BNSF</v>
          </cell>
          <cell r="E190">
            <v>6</v>
          </cell>
          <cell r="F190">
            <v>3.6286650000000001E-3</v>
          </cell>
        </row>
        <row r="191">
          <cell r="B191" t="str">
            <v>BNSF</v>
          </cell>
          <cell r="E191">
            <v>6</v>
          </cell>
          <cell r="F191">
            <v>2.9788829999999999E-3</v>
          </cell>
        </row>
        <row r="192">
          <cell r="B192" t="str">
            <v>BNSF</v>
          </cell>
          <cell r="E192">
            <v>6</v>
          </cell>
          <cell r="F192">
            <v>2.3292370000000001E-3</v>
          </cell>
        </row>
        <row r="193">
          <cell r="B193" t="str">
            <v>BNSF</v>
          </cell>
          <cell r="E193">
            <v>6</v>
          </cell>
          <cell r="F193">
            <v>8.5299880000000002E-6</v>
          </cell>
        </row>
        <row r="194">
          <cell r="B194" t="str">
            <v>BNSF</v>
          </cell>
          <cell r="E194">
            <v>6</v>
          </cell>
          <cell r="F194">
            <v>1.677387E-3</v>
          </cell>
        </row>
        <row r="195">
          <cell r="B195" t="str">
            <v>BNSF</v>
          </cell>
          <cell r="E195">
            <v>6</v>
          </cell>
          <cell r="F195">
            <v>1.283859E-2</v>
          </cell>
        </row>
        <row r="196">
          <cell r="B196" t="str">
            <v>BNSF</v>
          </cell>
          <cell r="E196">
            <v>6</v>
          </cell>
          <cell r="F196">
            <v>0.35058279999999997</v>
          </cell>
        </row>
        <row r="197">
          <cell r="B197" t="str">
            <v>BNSF</v>
          </cell>
          <cell r="E197">
            <v>6</v>
          </cell>
          <cell r="F197">
            <v>2.9501879999999997E-4</v>
          </cell>
        </row>
        <row r="198">
          <cell r="B198" t="str">
            <v>BNSF</v>
          </cell>
          <cell r="E198">
            <v>6</v>
          </cell>
          <cell r="F198">
            <v>5.5010279999999998E-3</v>
          </cell>
        </row>
        <row r="199">
          <cell r="B199" t="str">
            <v>BNSF</v>
          </cell>
          <cell r="E199">
            <v>6</v>
          </cell>
          <cell r="F199">
            <v>6.4233600000000002E-2</v>
          </cell>
        </row>
        <row r="200">
          <cell r="B200" t="str">
            <v>BNSF</v>
          </cell>
          <cell r="E200">
            <v>6</v>
          </cell>
          <cell r="F200">
            <v>3.2002509999999999E-3</v>
          </cell>
        </row>
        <row r="201">
          <cell r="B201" t="str">
            <v>BNSF</v>
          </cell>
          <cell r="E201">
            <v>6</v>
          </cell>
          <cell r="F201">
            <v>3.785935E-2</v>
          </cell>
        </row>
        <row r="202">
          <cell r="B202" t="str">
            <v>BNSF</v>
          </cell>
          <cell r="E202">
            <v>6</v>
          </cell>
          <cell r="F202">
            <v>9.5388669999999995E-4</v>
          </cell>
        </row>
        <row r="203">
          <cell r="B203" t="str">
            <v>BNSF</v>
          </cell>
          <cell r="E203">
            <v>6</v>
          </cell>
          <cell r="F203">
            <v>2.3779489999999999E-3</v>
          </cell>
        </row>
        <row r="204">
          <cell r="B204" t="str">
            <v>BNSF</v>
          </cell>
          <cell r="E204">
            <v>6</v>
          </cell>
          <cell r="F204">
            <v>9.7206310000000004E-4</v>
          </cell>
        </row>
        <row r="205">
          <cell r="B205" t="str">
            <v>BNSF</v>
          </cell>
          <cell r="E205">
            <v>6</v>
          </cell>
          <cell r="F205">
            <v>3.4422849999999998E-3</v>
          </cell>
        </row>
        <row r="206">
          <cell r="B206" t="str">
            <v>BNSF</v>
          </cell>
          <cell r="E206">
            <v>6</v>
          </cell>
          <cell r="F206">
            <v>1.9808569999999999E-3</v>
          </cell>
        </row>
        <row r="207">
          <cell r="B207" t="str">
            <v>BNSF</v>
          </cell>
          <cell r="E207">
            <v>6</v>
          </cell>
          <cell r="F207">
            <v>2.124552E-3</v>
          </cell>
        </row>
        <row r="208">
          <cell r="B208" t="str">
            <v>BNSF</v>
          </cell>
          <cell r="E208">
            <v>6</v>
          </cell>
          <cell r="F208">
            <v>3.2833110000000001E-3</v>
          </cell>
        </row>
        <row r="209">
          <cell r="B209" t="str">
            <v>BNSF</v>
          </cell>
          <cell r="E209">
            <v>6</v>
          </cell>
          <cell r="F209">
            <v>3.283429E-3</v>
          </cell>
        </row>
        <row r="210">
          <cell r="B210" t="str">
            <v>BNSF</v>
          </cell>
          <cell r="E210">
            <v>6</v>
          </cell>
          <cell r="F210">
            <v>0.1976493</v>
          </cell>
        </row>
        <row r="211">
          <cell r="B211" t="str">
            <v>BNSF</v>
          </cell>
          <cell r="E211">
            <v>6</v>
          </cell>
          <cell r="F211">
            <v>2.871429E-2</v>
          </cell>
        </row>
        <row r="212">
          <cell r="B212" t="str">
            <v>Union Pacific</v>
          </cell>
          <cell r="E212">
            <v>6</v>
          </cell>
          <cell r="F212">
            <v>6.6192440000000005E-2</v>
          </cell>
        </row>
        <row r="213">
          <cell r="B213" t="str">
            <v>Union Pacific</v>
          </cell>
          <cell r="E213">
            <v>6</v>
          </cell>
          <cell r="F213">
            <v>1.1676499999999999E-2</v>
          </cell>
        </row>
        <row r="214">
          <cell r="B214" t="str">
            <v>Union Pacific</v>
          </cell>
          <cell r="E214">
            <v>6</v>
          </cell>
          <cell r="F214">
            <v>8.7504920000000003E-3</v>
          </cell>
        </row>
        <row r="215">
          <cell r="B215" t="str">
            <v>Union Pacific</v>
          </cell>
          <cell r="E215">
            <v>6</v>
          </cell>
          <cell r="F215">
            <v>3.4714630000000003E-2</v>
          </cell>
        </row>
        <row r="216">
          <cell r="B216" t="str">
            <v>Union Pacific</v>
          </cell>
          <cell r="E216">
            <v>6</v>
          </cell>
          <cell r="F216">
            <v>4.1311020000000002E-3</v>
          </cell>
        </row>
        <row r="217">
          <cell r="B217" t="str">
            <v>Union Pacific</v>
          </cell>
          <cell r="E217">
            <v>6</v>
          </cell>
          <cell r="F217">
            <v>6.7832810000000004E-3</v>
          </cell>
        </row>
        <row r="218">
          <cell r="B218" t="str">
            <v>Union Pacific</v>
          </cell>
          <cell r="E218">
            <v>6</v>
          </cell>
          <cell r="F218">
            <v>2.751988E-2</v>
          </cell>
        </row>
        <row r="219">
          <cell r="B219" t="str">
            <v>Union Pacific</v>
          </cell>
          <cell r="E219">
            <v>6</v>
          </cell>
          <cell r="F219">
            <v>2.7185319999999999E-2</v>
          </cell>
        </row>
        <row r="220">
          <cell r="B220" t="str">
            <v>Union Pacific</v>
          </cell>
          <cell r="E220">
            <v>6</v>
          </cell>
          <cell r="F220">
            <v>4.9218660000000002E-4</v>
          </cell>
        </row>
        <row r="221">
          <cell r="B221" t="str">
            <v>Union Pacific</v>
          </cell>
          <cell r="E221">
            <v>6</v>
          </cell>
          <cell r="F221">
            <v>3.2153989999999999E-3</v>
          </cell>
        </row>
        <row r="222">
          <cell r="B222" t="str">
            <v>Union Pacific</v>
          </cell>
          <cell r="E222">
            <v>6</v>
          </cell>
          <cell r="F222">
            <v>1.407834E-3</v>
          </cell>
        </row>
        <row r="223">
          <cell r="B223" t="str">
            <v>Union Pacific</v>
          </cell>
          <cell r="E223">
            <v>6</v>
          </cell>
          <cell r="F223">
            <v>3.4392649999999999E-3</v>
          </cell>
        </row>
        <row r="224">
          <cell r="B224" t="str">
            <v>Union Pacific</v>
          </cell>
          <cell r="E224">
            <v>6</v>
          </cell>
          <cell r="F224">
            <v>2.7302020000000001E-3</v>
          </cell>
        </row>
        <row r="225">
          <cell r="B225" t="str">
            <v>Union Pacific</v>
          </cell>
          <cell r="E225">
            <v>6</v>
          </cell>
          <cell r="F225">
            <v>1.5236749999999999E-3</v>
          </cell>
        </row>
        <row r="226">
          <cell r="B226" t="str">
            <v>Union Pacific</v>
          </cell>
          <cell r="E226">
            <v>6</v>
          </cell>
          <cell r="F226">
            <v>2.2327380000000002E-3</v>
          </cell>
        </row>
        <row r="227">
          <cell r="B227" t="str">
            <v>Union Pacific</v>
          </cell>
          <cell r="E227">
            <v>6</v>
          </cell>
          <cell r="F227">
            <v>2.1745710000000001E-2</v>
          </cell>
        </row>
        <row r="228">
          <cell r="B228" t="str">
            <v>Union Pacific</v>
          </cell>
          <cell r="E228">
            <v>6</v>
          </cell>
          <cell r="F228">
            <v>6.3622369999999998E-3</v>
          </cell>
        </row>
        <row r="229">
          <cell r="B229" t="str">
            <v>Union Pacific</v>
          </cell>
          <cell r="E229">
            <v>6</v>
          </cell>
          <cell r="F229">
            <v>5.076456E-3</v>
          </cell>
        </row>
        <row r="230">
          <cell r="B230" t="str">
            <v>Union Pacific</v>
          </cell>
          <cell r="E230">
            <v>6</v>
          </cell>
          <cell r="F230">
            <v>1.0645440000000001E-2</v>
          </cell>
        </row>
        <row r="231">
          <cell r="B231" t="str">
            <v>Union Pacific</v>
          </cell>
          <cell r="E231">
            <v>6</v>
          </cell>
          <cell r="F231">
            <v>3.9620669999999997E-3</v>
          </cell>
        </row>
        <row r="232">
          <cell r="B232" t="str">
            <v>Union Pacific</v>
          </cell>
          <cell r="E232">
            <v>6</v>
          </cell>
          <cell r="F232">
            <v>6.1443130000000002E-3</v>
          </cell>
        </row>
        <row r="233">
          <cell r="B233" t="str">
            <v>Union Pacific</v>
          </cell>
          <cell r="E233">
            <v>6</v>
          </cell>
          <cell r="F233">
            <v>1.264418E-2</v>
          </cell>
        </row>
        <row r="234">
          <cell r="B234" t="str">
            <v>Union Pacific</v>
          </cell>
          <cell r="E234">
            <v>6</v>
          </cell>
          <cell r="F234">
            <v>4.0715339999999999E-3</v>
          </cell>
        </row>
        <row r="235">
          <cell r="B235" t="str">
            <v>Union Pacific</v>
          </cell>
          <cell r="E235">
            <v>6</v>
          </cell>
          <cell r="F235">
            <v>7.1433550000000003E-4</v>
          </cell>
        </row>
        <row r="236">
          <cell r="B236" t="str">
            <v>Union Pacific</v>
          </cell>
          <cell r="E236">
            <v>6</v>
          </cell>
          <cell r="F236">
            <v>1.203429E-2</v>
          </cell>
        </row>
        <row r="237">
          <cell r="B237" t="str">
            <v>Union Pacific</v>
          </cell>
          <cell r="E237">
            <v>6</v>
          </cell>
          <cell r="F237">
            <v>3.8633109999999999E-3</v>
          </cell>
        </row>
        <row r="238">
          <cell r="B238" t="str">
            <v>Union Pacific</v>
          </cell>
          <cell r="E238">
            <v>6</v>
          </cell>
          <cell r="F238">
            <v>9.7204260000000008E-3</v>
          </cell>
        </row>
        <row r="239">
          <cell r="B239" t="str">
            <v>Union Pacific</v>
          </cell>
          <cell r="E239">
            <v>6</v>
          </cell>
          <cell r="F239">
            <v>1.7857630000000001E-3</v>
          </cell>
        </row>
        <row r="240">
          <cell r="B240" t="str">
            <v>Union Pacific</v>
          </cell>
          <cell r="E240">
            <v>6</v>
          </cell>
          <cell r="F240">
            <v>1.757893E-3</v>
          </cell>
        </row>
        <row r="241">
          <cell r="B241" t="str">
            <v>Union Pacific</v>
          </cell>
          <cell r="E241">
            <v>6</v>
          </cell>
          <cell r="F241">
            <v>1.7300239999999999E-3</v>
          </cell>
        </row>
        <row r="242">
          <cell r="B242" t="str">
            <v>Union Pacific</v>
          </cell>
          <cell r="E242">
            <v>6</v>
          </cell>
          <cell r="F242">
            <v>1.702114E-3</v>
          </cell>
        </row>
        <row r="243">
          <cell r="B243" t="str">
            <v>Union Pacific</v>
          </cell>
          <cell r="E243">
            <v>6</v>
          </cell>
          <cell r="F243">
            <v>1.618155E-3</v>
          </cell>
        </row>
        <row r="244">
          <cell r="B244" t="str">
            <v>Union Pacific</v>
          </cell>
          <cell r="E244">
            <v>6</v>
          </cell>
          <cell r="F244">
            <v>3.0842609999999999E-2</v>
          </cell>
        </row>
        <row r="245">
          <cell r="B245" t="str">
            <v>Union Pacific</v>
          </cell>
          <cell r="E245">
            <v>6</v>
          </cell>
          <cell r="F245">
            <v>3.5821239999999999E-3</v>
          </cell>
        </row>
        <row r="246">
          <cell r="B246" t="str">
            <v>Union Pacific</v>
          </cell>
          <cell r="E246">
            <v>6</v>
          </cell>
          <cell r="F246">
            <v>4.134731E-3</v>
          </cell>
        </row>
        <row r="247">
          <cell r="B247" t="str">
            <v>Union Pacific</v>
          </cell>
          <cell r="E247">
            <v>6</v>
          </cell>
          <cell r="F247">
            <v>3.4391579999999999E-3</v>
          </cell>
        </row>
        <row r="248">
          <cell r="B248" t="str">
            <v>Union Pacific</v>
          </cell>
          <cell r="E248">
            <v>6</v>
          </cell>
          <cell r="F248">
            <v>1.969912E-4</v>
          </cell>
        </row>
        <row r="249">
          <cell r="B249" t="str">
            <v>Union Pacific</v>
          </cell>
          <cell r="E249">
            <v>6</v>
          </cell>
          <cell r="F249">
            <v>4.4874859999999997E-3</v>
          </cell>
        </row>
        <row r="250">
          <cell r="B250" t="str">
            <v>Union Pacific</v>
          </cell>
          <cell r="E250">
            <v>6</v>
          </cell>
          <cell r="F250">
            <v>5.011555E-3</v>
          </cell>
        </row>
        <row r="251">
          <cell r="B251" t="str">
            <v>Union Pacific</v>
          </cell>
          <cell r="E251">
            <v>6</v>
          </cell>
          <cell r="F251">
            <v>1.401707E-2</v>
          </cell>
        </row>
        <row r="252">
          <cell r="B252" t="str">
            <v>Union Pacific</v>
          </cell>
          <cell r="E252">
            <v>6</v>
          </cell>
          <cell r="F252">
            <v>9.6473839999999995E-4</v>
          </cell>
        </row>
        <row r="253">
          <cell r="B253" t="str">
            <v>Union Pacific</v>
          </cell>
          <cell r="E253">
            <v>6</v>
          </cell>
          <cell r="F253">
            <v>9.4600970000000006E-3</v>
          </cell>
        </row>
        <row r="254">
          <cell r="B254" t="str">
            <v>Union Pacific</v>
          </cell>
          <cell r="E254">
            <v>6</v>
          </cell>
          <cell r="F254">
            <v>2.497243E-2</v>
          </cell>
        </row>
        <row r="255">
          <cell r="B255" t="str">
            <v>Union Pacific</v>
          </cell>
          <cell r="E255">
            <v>6</v>
          </cell>
          <cell r="F255">
            <v>6.8290900000000002E-2</v>
          </cell>
        </row>
        <row r="256">
          <cell r="B256" t="str">
            <v>Union Pacific</v>
          </cell>
          <cell r="E256">
            <v>6</v>
          </cell>
          <cell r="F256">
            <v>6.2536290000000001E-3</v>
          </cell>
        </row>
        <row r="257">
          <cell r="B257" t="str">
            <v>Union Pacific</v>
          </cell>
          <cell r="E257">
            <v>6</v>
          </cell>
          <cell r="F257">
            <v>5.048826E-2</v>
          </cell>
        </row>
        <row r="258">
          <cell r="B258" t="str">
            <v>Union Pacific</v>
          </cell>
          <cell r="E258">
            <v>6</v>
          </cell>
          <cell r="F258">
            <v>3.8868180000000002E-2</v>
          </cell>
        </row>
        <row r="259">
          <cell r="B259" t="str">
            <v>Union Pacific</v>
          </cell>
          <cell r="E259">
            <v>6</v>
          </cell>
          <cell r="F259">
            <v>2.752491E-2</v>
          </cell>
        </row>
        <row r="260">
          <cell r="B260" t="str">
            <v>Union Pacific</v>
          </cell>
          <cell r="E260">
            <v>6</v>
          </cell>
          <cell r="F260">
            <v>1.9744250000000001E-2</v>
          </cell>
        </row>
        <row r="261">
          <cell r="B261" t="str">
            <v>Union Pacific</v>
          </cell>
          <cell r="E261">
            <v>6</v>
          </cell>
          <cell r="F261">
            <v>1.038962E-3</v>
          </cell>
        </row>
        <row r="262">
          <cell r="B262" t="str">
            <v>Union Pacific</v>
          </cell>
          <cell r="E262">
            <v>6</v>
          </cell>
          <cell r="F262">
            <v>1.713935E-3</v>
          </cell>
        </row>
        <row r="263">
          <cell r="B263" t="str">
            <v>Union Pacific</v>
          </cell>
          <cell r="E263">
            <v>6</v>
          </cell>
          <cell r="F263">
            <v>6.5092500000000001E-4</v>
          </cell>
        </row>
        <row r="264">
          <cell r="B264" t="str">
            <v>Union Pacific</v>
          </cell>
          <cell r="E264">
            <v>6</v>
          </cell>
          <cell r="F264">
            <v>2.1026180000000001E-3</v>
          </cell>
        </row>
        <row r="265">
          <cell r="B265" t="str">
            <v>Union Pacific</v>
          </cell>
          <cell r="E265">
            <v>6</v>
          </cell>
          <cell r="F265">
            <v>7.7080479999999999E-4</v>
          </cell>
        </row>
        <row r="266">
          <cell r="B266" t="str">
            <v>Union Pacific</v>
          </cell>
          <cell r="E266">
            <v>6</v>
          </cell>
          <cell r="F266">
            <v>3.356857E-3</v>
          </cell>
        </row>
        <row r="267">
          <cell r="B267" t="str">
            <v>Union Pacific</v>
          </cell>
          <cell r="E267">
            <v>6</v>
          </cell>
          <cell r="F267">
            <v>2.0248689999999999E-3</v>
          </cell>
        </row>
        <row r="268">
          <cell r="B268" t="str">
            <v>Union Pacific</v>
          </cell>
          <cell r="E268">
            <v>6</v>
          </cell>
          <cell r="F268">
            <v>4.6108720000000002E-3</v>
          </cell>
        </row>
        <row r="269">
          <cell r="B269" t="str">
            <v>Union Pacific</v>
          </cell>
          <cell r="E269">
            <v>6</v>
          </cell>
          <cell r="F269">
            <v>9.7831499999999991E-3</v>
          </cell>
        </row>
        <row r="270">
          <cell r="B270" t="str">
            <v>Union Pacific</v>
          </cell>
          <cell r="E270">
            <v>6</v>
          </cell>
          <cell r="F270">
            <v>3.0739530000000001E-2</v>
          </cell>
        </row>
        <row r="271">
          <cell r="B271" t="str">
            <v>Union Pacific</v>
          </cell>
          <cell r="E271">
            <v>6</v>
          </cell>
          <cell r="F271">
            <v>6.3800489999999996E-3</v>
          </cell>
        </row>
        <row r="272">
          <cell r="B272" t="str">
            <v>Union Pacific</v>
          </cell>
          <cell r="E272">
            <v>6</v>
          </cell>
          <cell r="F272">
            <v>2.6430180000000001E-2</v>
          </cell>
        </row>
        <row r="273">
          <cell r="B273" t="str">
            <v>Union Pacific</v>
          </cell>
          <cell r="E273">
            <v>6</v>
          </cell>
          <cell r="F273">
            <v>1.6492989999999999E-2</v>
          </cell>
        </row>
        <row r="274">
          <cell r="B274" t="str">
            <v>Union Pacific</v>
          </cell>
          <cell r="E274">
            <v>6</v>
          </cell>
          <cell r="F274">
            <v>8.4268880000000004E-3</v>
          </cell>
        </row>
        <row r="275">
          <cell r="B275" t="str">
            <v>Union Pacific</v>
          </cell>
          <cell r="E275">
            <v>6</v>
          </cell>
          <cell r="F275">
            <v>4.0677789999999997E-3</v>
          </cell>
        </row>
        <row r="276">
          <cell r="B276" t="str">
            <v>Union Pacific</v>
          </cell>
          <cell r="E276">
            <v>6</v>
          </cell>
          <cell r="F276">
            <v>3.6069729999999999E-4</v>
          </cell>
        </row>
        <row r="277">
          <cell r="B277" t="str">
            <v>Union Pacific</v>
          </cell>
          <cell r="E277">
            <v>6</v>
          </cell>
          <cell r="F277">
            <v>2.4291870000000002E-3</v>
          </cell>
        </row>
        <row r="278">
          <cell r="B278" t="str">
            <v>Union Pacific</v>
          </cell>
          <cell r="E278">
            <v>6</v>
          </cell>
          <cell r="F278">
            <v>4.3011260000000001E-4</v>
          </cell>
        </row>
        <row r="279">
          <cell r="B279" t="str">
            <v>Union Pacific</v>
          </cell>
          <cell r="E279">
            <v>6</v>
          </cell>
          <cell r="F279">
            <v>4.9930519999999998E-4</v>
          </cell>
        </row>
        <row r="280">
          <cell r="B280" t="str">
            <v>Union Pacific</v>
          </cell>
          <cell r="E280">
            <v>6</v>
          </cell>
          <cell r="F280">
            <v>1.430529E-3</v>
          </cell>
        </row>
        <row r="281">
          <cell r="B281" t="str">
            <v>Union Pacific</v>
          </cell>
          <cell r="E281">
            <v>6</v>
          </cell>
          <cell r="F281">
            <v>1.0296420000000001E-3</v>
          </cell>
        </row>
        <row r="282">
          <cell r="B282" t="str">
            <v>Union Pacific</v>
          </cell>
          <cell r="E282">
            <v>6</v>
          </cell>
          <cell r="F282">
            <v>6.5223780000000001E-4</v>
          </cell>
        </row>
        <row r="283">
          <cell r="B283" t="str">
            <v>Union Pacific</v>
          </cell>
          <cell r="E283">
            <v>6</v>
          </cell>
          <cell r="F283">
            <v>2.747944E-4</v>
          </cell>
        </row>
        <row r="284">
          <cell r="B284" t="str">
            <v>Union Pacific</v>
          </cell>
          <cell r="E284">
            <v>6</v>
          </cell>
          <cell r="F284">
            <v>2.1192579999999999E-4</v>
          </cell>
        </row>
        <row r="285">
          <cell r="B285" t="str">
            <v>Union Pacific</v>
          </cell>
          <cell r="E285">
            <v>6</v>
          </cell>
          <cell r="F285">
            <v>2.140915E-4</v>
          </cell>
        </row>
        <row r="286">
          <cell r="B286" t="str">
            <v>Union Pacific</v>
          </cell>
          <cell r="E286">
            <v>6</v>
          </cell>
          <cell r="F286">
            <v>2.0446E-4</v>
          </cell>
        </row>
        <row r="287">
          <cell r="B287" t="str">
            <v>Union Pacific</v>
          </cell>
          <cell r="E287">
            <v>6</v>
          </cell>
          <cell r="F287">
            <v>6.2925309999999996E-3</v>
          </cell>
        </row>
        <row r="288">
          <cell r="B288" t="str">
            <v>Union Pacific</v>
          </cell>
          <cell r="E288">
            <v>6</v>
          </cell>
          <cell r="F288">
            <v>1.202756E-4</v>
          </cell>
        </row>
        <row r="289">
          <cell r="B289" t="str">
            <v>Union Pacific</v>
          </cell>
          <cell r="E289">
            <v>6</v>
          </cell>
          <cell r="F289">
            <v>8.8359039999999999E-4</v>
          </cell>
        </row>
        <row r="290">
          <cell r="B290" t="str">
            <v>Union Pacific</v>
          </cell>
          <cell r="E290">
            <v>6</v>
          </cell>
          <cell r="F290">
            <v>1.042007E-3</v>
          </cell>
        </row>
        <row r="291">
          <cell r="B291" t="str">
            <v>Union Pacific</v>
          </cell>
          <cell r="E291">
            <v>6</v>
          </cell>
          <cell r="F291">
            <v>1.2317910000000001E-3</v>
          </cell>
        </row>
        <row r="292">
          <cell r="B292" t="str">
            <v>Union Pacific</v>
          </cell>
          <cell r="E292">
            <v>6</v>
          </cell>
          <cell r="F292">
            <v>0.12385500000000001</v>
          </cell>
        </row>
        <row r="293">
          <cell r="B293" t="str">
            <v>Union Pacific</v>
          </cell>
          <cell r="E293">
            <v>6</v>
          </cell>
          <cell r="F293">
            <v>2.8448610000000002E-3</v>
          </cell>
        </row>
        <row r="294">
          <cell r="B294" t="str">
            <v>Union Pacific</v>
          </cell>
          <cell r="E294">
            <v>6</v>
          </cell>
          <cell r="F294">
            <v>8.8302929999999995E-3</v>
          </cell>
        </row>
        <row r="295">
          <cell r="B295" t="str">
            <v>Union Pacific</v>
          </cell>
          <cell r="E295">
            <v>6</v>
          </cell>
          <cell r="F295">
            <v>8.9918079999999997E-2</v>
          </cell>
        </row>
        <row r="296">
          <cell r="B296" t="str">
            <v>Union Pacific</v>
          </cell>
          <cell r="E296">
            <v>6</v>
          </cell>
          <cell r="F296">
            <v>4.2667829999999997E-3</v>
          </cell>
        </row>
        <row r="297">
          <cell r="B297" t="str">
            <v>Union Pacific</v>
          </cell>
          <cell r="E297">
            <v>6</v>
          </cell>
          <cell r="F297">
            <v>2.350558E-3</v>
          </cell>
        </row>
        <row r="298">
          <cell r="B298" t="str">
            <v>Union Pacific</v>
          </cell>
          <cell r="E298">
            <v>6</v>
          </cell>
          <cell r="F298">
            <v>3.9952290000000001E-2</v>
          </cell>
        </row>
        <row r="299">
          <cell r="B299" t="str">
            <v>Union Pacific</v>
          </cell>
          <cell r="E299">
            <v>6</v>
          </cell>
          <cell r="F299">
            <v>5.5492099999999999E-4</v>
          </cell>
        </row>
        <row r="300">
          <cell r="B300" t="str">
            <v>Union Pacific</v>
          </cell>
          <cell r="E300">
            <v>6</v>
          </cell>
          <cell r="F300">
            <v>3.740911E-3</v>
          </cell>
        </row>
        <row r="301">
          <cell r="B301" t="str">
            <v>Union Pacific</v>
          </cell>
          <cell r="E301">
            <v>6</v>
          </cell>
          <cell r="F301">
            <v>8.2893399999999992E-3</v>
          </cell>
        </row>
        <row r="302">
          <cell r="B302" t="str">
            <v>Union Pacific</v>
          </cell>
          <cell r="E302">
            <v>6</v>
          </cell>
          <cell r="F302">
            <v>0.1107306</v>
          </cell>
        </row>
        <row r="303">
          <cell r="B303" t="str">
            <v>Union Pacific</v>
          </cell>
          <cell r="E303">
            <v>6</v>
          </cell>
          <cell r="F303">
            <v>6.0726160000000001E-2</v>
          </cell>
        </row>
        <row r="304">
          <cell r="B304" t="str">
            <v>Union Pacific</v>
          </cell>
          <cell r="E304">
            <v>6</v>
          </cell>
          <cell r="F304">
            <v>2.1847730000000001E-3</v>
          </cell>
        </row>
        <row r="305">
          <cell r="B305" t="str">
            <v>Union Pacific</v>
          </cell>
          <cell r="E305">
            <v>6</v>
          </cell>
          <cell r="F305">
            <v>4.9821520000000001E-3</v>
          </cell>
        </row>
        <row r="306">
          <cell r="B306" t="str">
            <v>Union Pacific</v>
          </cell>
          <cell r="E306">
            <v>6</v>
          </cell>
          <cell r="F306">
            <v>1.630531E-2</v>
          </cell>
        </row>
        <row r="307">
          <cell r="B307" t="str">
            <v>Union Pacific</v>
          </cell>
          <cell r="E307">
            <v>6</v>
          </cell>
          <cell r="F307">
            <v>1.26602E-2</v>
          </cell>
        </row>
        <row r="308">
          <cell r="B308" t="str">
            <v>Union Pacific</v>
          </cell>
          <cell r="E308">
            <v>6</v>
          </cell>
          <cell r="F308">
            <v>3.2461339999999999E-3</v>
          </cell>
        </row>
        <row r="309">
          <cell r="B309" t="str">
            <v>Union Pacific</v>
          </cell>
          <cell r="E309">
            <v>6</v>
          </cell>
          <cell r="F309">
            <v>6.2268039999999998E-3</v>
          </cell>
        </row>
        <row r="310">
          <cell r="B310" t="str">
            <v>Union Pacific</v>
          </cell>
          <cell r="E310">
            <v>6</v>
          </cell>
          <cell r="F310">
            <v>3.4239640000000002E-2</v>
          </cell>
        </row>
        <row r="311">
          <cell r="B311" t="str">
            <v>Union Pacific</v>
          </cell>
          <cell r="E311">
            <v>6</v>
          </cell>
          <cell r="F311">
            <v>3.3645160000000001E-3</v>
          </cell>
        </row>
        <row r="312">
          <cell r="B312" t="str">
            <v>Union Pacific</v>
          </cell>
          <cell r="E312">
            <v>6</v>
          </cell>
          <cell r="F312">
            <v>7.7110089999999996E-3</v>
          </cell>
        </row>
        <row r="313">
          <cell r="B313" t="str">
            <v>Union Pacific</v>
          </cell>
          <cell r="E313">
            <v>6</v>
          </cell>
          <cell r="F313">
            <v>1.2896089999999999E-3</v>
          </cell>
        </row>
        <row r="314">
          <cell r="B314" t="str">
            <v>Union Pacific</v>
          </cell>
          <cell r="E314">
            <v>6</v>
          </cell>
          <cell r="F314">
            <v>3.1227149999999999E-3</v>
          </cell>
        </row>
        <row r="315">
          <cell r="B315" t="str">
            <v>Union Pacific</v>
          </cell>
          <cell r="E315">
            <v>6</v>
          </cell>
          <cell r="F315">
            <v>4.0157320000000003E-2</v>
          </cell>
        </row>
        <row r="316">
          <cell r="B316" t="str">
            <v>Union Pacific</v>
          </cell>
          <cell r="E316">
            <v>6</v>
          </cell>
          <cell r="F316">
            <v>6.4144809999999997E-2</v>
          </cell>
        </row>
        <row r="317">
          <cell r="B317" t="str">
            <v>Union Pacific</v>
          </cell>
          <cell r="E317">
            <v>6</v>
          </cell>
          <cell r="F317">
            <v>5.6465050000000004E-4</v>
          </cell>
        </row>
        <row r="318">
          <cell r="B318" t="str">
            <v>Union Pacific</v>
          </cell>
          <cell r="E318">
            <v>6</v>
          </cell>
          <cell r="F318">
            <v>4.5250159999999998E-3</v>
          </cell>
        </row>
        <row r="319">
          <cell r="B319" t="str">
            <v>Union Pacific</v>
          </cell>
          <cell r="E319">
            <v>6</v>
          </cell>
          <cell r="F319">
            <v>7.9298419999999994E-2</v>
          </cell>
        </row>
        <row r="320">
          <cell r="B320" t="str">
            <v>Union Pacific</v>
          </cell>
          <cell r="E320">
            <v>6</v>
          </cell>
          <cell r="F320">
            <v>0.1131336</v>
          </cell>
        </row>
        <row r="321">
          <cell r="B321" t="str">
            <v>Union Pacific</v>
          </cell>
          <cell r="E321">
            <v>6</v>
          </cell>
          <cell r="F321">
            <v>0.26638139999999999</v>
          </cell>
        </row>
        <row r="322">
          <cell r="B322" t="str">
            <v>Union Pacific</v>
          </cell>
          <cell r="E322">
            <v>6</v>
          </cell>
          <cell r="F322">
            <v>8.3222089999999999E-2</v>
          </cell>
        </row>
        <row r="323">
          <cell r="B323" t="str">
            <v>Union Pacific</v>
          </cell>
          <cell r="E323">
            <v>6</v>
          </cell>
          <cell r="F323">
            <v>0.1165195</v>
          </cell>
        </row>
        <row r="324">
          <cell r="B324" t="str">
            <v>Union Pacific</v>
          </cell>
          <cell r="E324">
            <v>6</v>
          </cell>
          <cell r="F324">
            <v>1.8001989999999999E-2</v>
          </cell>
        </row>
        <row r="325">
          <cell r="B325" t="str">
            <v>Union Pacific</v>
          </cell>
          <cell r="E325">
            <v>6</v>
          </cell>
          <cell r="F325">
            <v>1.768198E-2</v>
          </cell>
        </row>
        <row r="326">
          <cell r="B326" t="str">
            <v>Union Pacific</v>
          </cell>
          <cell r="E326">
            <v>6</v>
          </cell>
          <cell r="F326">
            <v>6.5313059999999997E-3</v>
          </cell>
        </row>
        <row r="327">
          <cell r="B327" t="str">
            <v>Union Pacific</v>
          </cell>
          <cell r="E327">
            <v>6</v>
          </cell>
          <cell r="F327">
            <v>4.1642039999999998E-2</v>
          </cell>
        </row>
        <row r="328">
          <cell r="B328" t="str">
            <v>Union Pacific</v>
          </cell>
          <cell r="E328">
            <v>6</v>
          </cell>
          <cell r="F328">
            <v>0.1854027</v>
          </cell>
        </row>
        <row r="329">
          <cell r="B329" t="str">
            <v>Union Pacific</v>
          </cell>
          <cell r="E329">
            <v>6</v>
          </cell>
          <cell r="F329">
            <v>3.310342E-3</v>
          </cell>
        </row>
        <row r="330">
          <cell r="B330" t="str">
            <v>Union Pacific</v>
          </cell>
          <cell r="E330">
            <v>6</v>
          </cell>
          <cell r="F330">
            <v>9.9310470000000001E-3</v>
          </cell>
        </row>
        <row r="331">
          <cell r="B331" t="str">
            <v>Union Pacific</v>
          </cell>
          <cell r="E331">
            <v>6</v>
          </cell>
          <cell r="F331">
            <v>1.1611939999999999E-2</v>
          </cell>
        </row>
        <row r="332">
          <cell r="B332" t="str">
            <v>Union Pacific</v>
          </cell>
          <cell r="E332">
            <v>6</v>
          </cell>
          <cell r="F332">
            <v>0.17792469999999999</v>
          </cell>
        </row>
        <row r="333">
          <cell r="B333" t="str">
            <v>Union Pacific</v>
          </cell>
          <cell r="E333">
            <v>6</v>
          </cell>
          <cell r="F333">
            <v>3.2896309999999999E-3</v>
          </cell>
        </row>
        <row r="334">
          <cell r="B334" t="str">
            <v>Union Pacific</v>
          </cell>
          <cell r="E334">
            <v>6</v>
          </cell>
          <cell r="F334">
            <v>5.5053879999999999E-3</v>
          </cell>
        </row>
        <row r="335">
          <cell r="B335" t="str">
            <v>Union Pacific</v>
          </cell>
          <cell r="E335">
            <v>6</v>
          </cell>
          <cell r="F335">
            <v>2.289859E-2</v>
          </cell>
        </row>
        <row r="336">
          <cell r="B336" t="str">
            <v>Union Pacific</v>
          </cell>
          <cell r="E336">
            <v>6</v>
          </cell>
          <cell r="F336">
            <v>3.6057350000000002E-2</v>
          </cell>
        </row>
        <row r="337">
          <cell r="B337" t="str">
            <v>Union Pacific</v>
          </cell>
          <cell r="E337">
            <v>6</v>
          </cell>
          <cell r="F337">
            <v>8.5930649999999997E-2</v>
          </cell>
        </row>
        <row r="338">
          <cell r="B338" t="str">
            <v>Union Pacific</v>
          </cell>
          <cell r="E338">
            <v>6</v>
          </cell>
          <cell r="F338">
            <v>9.7796270000000008E-3</v>
          </cell>
        </row>
        <row r="339">
          <cell r="B339" t="str">
            <v>Union Pacific</v>
          </cell>
          <cell r="E339">
            <v>6</v>
          </cell>
          <cell r="F339">
            <v>7.816501E-3</v>
          </cell>
        </row>
        <row r="340">
          <cell r="B340" t="str">
            <v>Union Pacific</v>
          </cell>
          <cell r="E340">
            <v>6</v>
          </cell>
          <cell r="F340">
            <v>6.7950110000000001E-3</v>
          </cell>
        </row>
        <row r="341">
          <cell r="B341" t="str">
            <v>Union Pacific</v>
          </cell>
          <cell r="E341">
            <v>6</v>
          </cell>
          <cell r="F341">
            <v>3.1809799999999999E-3</v>
          </cell>
        </row>
        <row r="342">
          <cell r="B342" t="str">
            <v>Union Pacific</v>
          </cell>
          <cell r="E342">
            <v>6</v>
          </cell>
          <cell r="F342">
            <v>9.2033600000000007E-3</v>
          </cell>
        </row>
        <row r="343">
          <cell r="B343" t="str">
            <v>Union Pacific</v>
          </cell>
          <cell r="E343">
            <v>6</v>
          </cell>
          <cell r="F343">
            <v>4.8296690000000003E-2</v>
          </cell>
        </row>
        <row r="344">
          <cell r="B344" t="str">
            <v>Union Pacific</v>
          </cell>
          <cell r="E344">
            <v>6</v>
          </cell>
          <cell r="F344">
            <v>4.6907099999999998E-3</v>
          </cell>
        </row>
        <row r="345">
          <cell r="B345" t="str">
            <v>Union Pacific</v>
          </cell>
          <cell r="E345">
            <v>6</v>
          </cell>
          <cell r="F345">
            <v>5.7282549999999996E-4</v>
          </cell>
        </row>
        <row r="346">
          <cell r="B346" t="str">
            <v>Union Pacific</v>
          </cell>
          <cell r="E346">
            <v>6</v>
          </cell>
          <cell r="F346">
            <v>4.3898729999999999E-3</v>
          </cell>
        </row>
        <row r="347">
          <cell r="B347" t="str">
            <v>Union Pacific</v>
          </cell>
          <cell r="E347">
            <v>6</v>
          </cell>
          <cell r="F347">
            <v>7.6668470000000001E-3</v>
          </cell>
        </row>
        <row r="348">
          <cell r="B348" t="str">
            <v>Union Pacific</v>
          </cell>
          <cell r="E348">
            <v>6</v>
          </cell>
          <cell r="F348">
            <v>4.2369649999999997E-3</v>
          </cell>
        </row>
        <row r="349">
          <cell r="B349" t="str">
            <v>Union Pacific</v>
          </cell>
          <cell r="E349">
            <v>6</v>
          </cell>
          <cell r="F349">
            <v>2.3715440000000002E-3</v>
          </cell>
        </row>
        <row r="350">
          <cell r="B350" t="str">
            <v>Union Pacific</v>
          </cell>
          <cell r="E350">
            <v>6</v>
          </cell>
          <cell r="F350">
            <v>6.5260930000000002E-3</v>
          </cell>
        </row>
        <row r="351">
          <cell r="B351" t="str">
            <v>Union Pacific</v>
          </cell>
          <cell r="E351">
            <v>6</v>
          </cell>
          <cell r="F351">
            <v>1.54351E-2</v>
          </cell>
        </row>
        <row r="352">
          <cell r="B352" t="str">
            <v>Union Pacific</v>
          </cell>
          <cell r="E352">
            <v>6</v>
          </cell>
          <cell r="F352">
            <v>8.3792559999999999E-4</v>
          </cell>
        </row>
        <row r="353">
          <cell r="B353" t="str">
            <v>Union Pacific</v>
          </cell>
          <cell r="E353">
            <v>6</v>
          </cell>
          <cell r="F353">
            <v>2.7692749999999999E-2</v>
          </cell>
        </row>
        <row r="354">
          <cell r="B354" t="str">
            <v>Union Pacific</v>
          </cell>
          <cell r="E354">
            <v>6</v>
          </cell>
          <cell r="F354">
            <v>9.3583260000000001E-3</v>
          </cell>
        </row>
        <row r="355">
          <cell r="B355" t="str">
            <v>Union Pacific</v>
          </cell>
          <cell r="E355">
            <v>6</v>
          </cell>
          <cell r="F355">
            <v>6.55057E-2</v>
          </cell>
        </row>
        <row r="356">
          <cell r="B356" t="str">
            <v>Union Pacific</v>
          </cell>
          <cell r="E356">
            <v>6</v>
          </cell>
          <cell r="F356">
            <v>4.4190849999999997E-3</v>
          </cell>
        </row>
        <row r="357">
          <cell r="B357" t="str">
            <v>Union Pacific</v>
          </cell>
          <cell r="E357">
            <v>6</v>
          </cell>
          <cell r="F357">
            <v>2.3733299999999999E-3</v>
          </cell>
        </row>
        <row r="358">
          <cell r="B358" t="str">
            <v>Union Pacific</v>
          </cell>
          <cell r="E358">
            <v>6</v>
          </cell>
          <cell r="F358">
            <v>4.5180510000000004E-3</v>
          </cell>
        </row>
        <row r="359">
          <cell r="B359" t="str">
            <v>Union Pacific</v>
          </cell>
          <cell r="E359">
            <v>6</v>
          </cell>
          <cell r="F359">
            <v>8.6296169999999991E-3</v>
          </cell>
        </row>
        <row r="360">
          <cell r="B360" t="str">
            <v>Union Pacific</v>
          </cell>
          <cell r="E360">
            <v>6</v>
          </cell>
          <cell r="F360">
            <v>5.1982019999999999E-3</v>
          </cell>
        </row>
        <row r="361">
          <cell r="B361" t="str">
            <v>Union Pacific</v>
          </cell>
          <cell r="E361">
            <v>6</v>
          </cell>
          <cell r="F361">
            <v>1.014025E-3</v>
          </cell>
        </row>
        <row r="362">
          <cell r="B362" t="str">
            <v>Union Pacific</v>
          </cell>
          <cell r="E362">
            <v>6</v>
          </cell>
          <cell r="F362">
            <v>2.4149200000000001E-3</v>
          </cell>
        </row>
        <row r="363">
          <cell r="B363" t="str">
            <v>Union Pacific</v>
          </cell>
          <cell r="E363">
            <v>6</v>
          </cell>
          <cell r="F363">
            <v>9.9383169999999995E-4</v>
          </cell>
        </row>
        <row r="364">
          <cell r="B364" t="str">
            <v>Union Pacific</v>
          </cell>
          <cell r="E364">
            <v>6</v>
          </cell>
          <cell r="F364">
            <v>4.8553030000000002E-4</v>
          </cell>
        </row>
        <row r="365">
          <cell r="B365" t="str">
            <v>Union Pacific</v>
          </cell>
          <cell r="E365">
            <v>6</v>
          </cell>
          <cell r="F365">
            <v>3.1094819999999998E-3</v>
          </cell>
        </row>
        <row r="366">
          <cell r="B366" t="str">
            <v>Union Pacific</v>
          </cell>
          <cell r="E366">
            <v>6</v>
          </cell>
          <cell r="F366">
            <v>1.89588E-3</v>
          </cell>
        </row>
        <row r="367">
          <cell r="B367" t="str">
            <v>Union Pacific</v>
          </cell>
          <cell r="E367">
            <v>6</v>
          </cell>
          <cell r="F367">
            <v>6.8208229999999997E-4</v>
          </cell>
        </row>
        <row r="368">
          <cell r="B368" t="str">
            <v>Union Pacific</v>
          </cell>
          <cell r="E368">
            <v>6</v>
          </cell>
          <cell r="F368">
            <v>1.942516E-3</v>
          </cell>
        </row>
        <row r="369">
          <cell r="B369" t="str">
            <v>Union Pacific</v>
          </cell>
          <cell r="E369">
            <v>6</v>
          </cell>
          <cell r="F369">
            <v>4.3964210000000002E-3</v>
          </cell>
        </row>
        <row r="370">
          <cell r="B370" t="str">
            <v>Union Pacific</v>
          </cell>
          <cell r="E370">
            <v>6</v>
          </cell>
          <cell r="F370">
            <v>7.1038819999999997E-3</v>
          </cell>
        </row>
        <row r="371">
          <cell r="B371" t="str">
            <v>Union Pacific</v>
          </cell>
          <cell r="E371">
            <v>6</v>
          </cell>
          <cell r="F371">
            <v>4.4929330000000002E-3</v>
          </cell>
        </row>
        <row r="372">
          <cell r="B372" t="str">
            <v>Union Pacific</v>
          </cell>
          <cell r="E372">
            <v>6</v>
          </cell>
          <cell r="F372">
            <v>6.2658189999999997E-3</v>
          </cell>
        </row>
        <row r="373">
          <cell r="B373" t="str">
            <v>Union Pacific</v>
          </cell>
          <cell r="E373">
            <v>6</v>
          </cell>
          <cell r="F373">
            <v>4.78577E-3</v>
          </cell>
        </row>
        <row r="374">
          <cell r="B374" t="str">
            <v>Union Pacific</v>
          </cell>
          <cell r="E374">
            <v>6</v>
          </cell>
          <cell r="F374">
            <v>4.1735280000000001E-3</v>
          </cell>
        </row>
        <row r="375">
          <cell r="B375" t="str">
            <v>Union Pacific</v>
          </cell>
          <cell r="E375">
            <v>6</v>
          </cell>
          <cell r="F375">
            <v>1.446704E-3</v>
          </cell>
        </row>
        <row r="376">
          <cell r="B376" t="str">
            <v>Union Pacific</v>
          </cell>
          <cell r="E376">
            <v>6</v>
          </cell>
          <cell r="F376">
            <v>1.863906E-3</v>
          </cell>
        </row>
        <row r="377">
          <cell r="B377" t="str">
            <v>Union Pacific</v>
          </cell>
          <cell r="E377">
            <v>6</v>
          </cell>
          <cell r="F377">
            <v>2.281019E-3</v>
          </cell>
        </row>
        <row r="378">
          <cell r="B378" t="str">
            <v>Union Pacific</v>
          </cell>
          <cell r="E378">
            <v>6</v>
          </cell>
          <cell r="F378">
            <v>2.698045E-3</v>
          </cell>
        </row>
        <row r="379">
          <cell r="B379" t="str">
            <v>Union Pacific</v>
          </cell>
          <cell r="E379">
            <v>6</v>
          </cell>
          <cell r="F379">
            <v>4.5285289999999999E-3</v>
          </cell>
        </row>
        <row r="380">
          <cell r="B380" t="str">
            <v>Union Pacific</v>
          </cell>
          <cell r="E380">
            <v>6</v>
          </cell>
          <cell r="F380">
            <v>4.8036260000000001E-3</v>
          </cell>
        </row>
        <row r="381">
          <cell r="B381" t="str">
            <v>Union Pacific</v>
          </cell>
          <cell r="E381">
            <v>6</v>
          </cell>
          <cell r="F381">
            <v>4.865968E-3</v>
          </cell>
        </row>
        <row r="382">
          <cell r="B382" t="str">
            <v>Union Pacific</v>
          </cell>
          <cell r="E382">
            <v>6</v>
          </cell>
          <cell r="F382">
            <v>4.6536590000000001E-3</v>
          </cell>
        </row>
        <row r="383">
          <cell r="B383" t="str">
            <v>Union Pacific</v>
          </cell>
          <cell r="E383">
            <v>6</v>
          </cell>
          <cell r="F383">
            <v>1.312346E-3</v>
          </cell>
        </row>
        <row r="384">
          <cell r="B384" t="str">
            <v>Union Pacific</v>
          </cell>
          <cell r="E384">
            <v>6</v>
          </cell>
          <cell r="F384">
            <v>1.5874420000000001E-3</v>
          </cell>
        </row>
        <row r="385">
          <cell r="B385" t="str">
            <v>Union Pacific</v>
          </cell>
          <cell r="E385">
            <v>6</v>
          </cell>
          <cell r="F385">
            <v>2.0499229999999999E-3</v>
          </cell>
        </row>
        <row r="386">
          <cell r="B386" t="str">
            <v>Union Pacific</v>
          </cell>
          <cell r="E386">
            <v>6</v>
          </cell>
          <cell r="F386">
            <v>1.8624519999999999E-3</v>
          </cell>
        </row>
        <row r="387">
          <cell r="B387" t="str">
            <v>Union Pacific</v>
          </cell>
          <cell r="E387">
            <v>6</v>
          </cell>
          <cell r="F387">
            <v>0.1010528</v>
          </cell>
        </row>
        <row r="388">
          <cell r="B388" t="str">
            <v>Union Pacific</v>
          </cell>
          <cell r="E388">
            <v>6</v>
          </cell>
          <cell r="F388">
            <v>9.3965660000000006E-2</v>
          </cell>
        </row>
        <row r="389">
          <cell r="B389" t="str">
            <v>Union Pacific</v>
          </cell>
          <cell r="E389">
            <v>6</v>
          </cell>
          <cell r="F389">
            <v>1.3596530000000001E-2</v>
          </cell>
        </row>
        <row r="390">
          <cell r="B390" t="str">
            <v>Union Pacific</v>
          </cell>
          <cell r="E390">
            <v>6</v>
          </cell>
          <cell r="F390">
            <v>2.660098E-2</v>
          </cell>
        </row>
        <row r="391">
          <cell r="B391" t="str">
            <v>Union Pacific</v>
          </cell>
          <cell r="E391">
            <v>6</v>
          </cell>
          <cell r="F391">
            <v>1.7966940000000001E-2</v>
          </cell>
        </row>
        <row r="392">
          <cell r="B392" t="str">
            <v>Union Pacific</v>
          </cell>
          <cell r="E392">
            <v>6</v>
          </cell>
          <cell r="F392">
            <v>1.53998E-2</v>
          </cell>
        </row>
        <row r="393">
          <cell r="B393" t="str">
            <v>Union Pacific</v>
          </cell>
          <cell r="E393">
            <v>6</v>
          </cell>
          <cell r="F393">
            <v>8.3779130000000007E-3</v>
          </cell>
        </row>
        <row r="394">
          <cell r="B394" t="str">
            <v>Union Pacific</v>
          </cell>
          <cell r="E394">
            <v>6</v>
          </cell>
          <cell r="F394">
            <v>7.5023310000000001E-3</v>
          </cell>
        </row>
        <row r="395">
          <cell r="B395" t="str">
            <v>Union Pacific</v>
          </cell>
          <cell r="E395">
            <v>6</v>
          </cell>
          <cell r="F395">
            <v>6.6131499999999999E-3</v>
          </cell>
        </row>
        <row r="396">
          <cell r="B396" t="str">
            <v>Union Pacific</v>
          </cell>
          <cell r="E396">
            <v>6</v>
          </cell>
          <cell r="F396">
            <v>6.6132669999999999E-3</v>
          </cell>
        </row>
        <row r="397">
          <cell r="B397" t="str">
            <v>Union Pacific</v>
          </cell>
          <cell r="E397">
            <v>6</v>
          </cell>
          <cell r="F397">
            <v>6.6132669999999999E-3</v>
          </cell>
        </row>
        <row r="398">
          <cell r="B398" t="str">
            <v>Union Pacific</v>
          </cell>
          <cell r="E398">
            <v>6</v>
          </cell>
          <cell r="F398">
            <v>9.9197439999999994E-3</v>
          </cell>
        </row>
        <row r="399">
          <cell r="B399" t="str">
            <v>Union Pacific</v>
          </cell>
          <cell r="E399">
            <v>6</v>
          </cell>
          <cell r="F399">
            <v>6.6132079999999998E-3</v>
          </cell>
        </row>
        <row r="400">
          <cell r="B400" t="str">
            <v>Union Pacific</v>
          </cell>
          <cell r="E400">
            <v>6</v>
          </cell>
          <cell r="F400">
            <v>4.5896869999999999E-2</v>
          </cell>
        </row>
        <row r="401">
          <cell r="B401" t="str">
            <v>Union Pacific</v>
          </cell>
          <cell r="E401">
            <v>6</v>
          </cell>
          <cell r="F401">
            <v>9.919387E-3</v>
          </cell>
        </row>
        <row r="402">
          <cell r="B402" t="str">
            <v>Union Pacific</v>
          </cell>
          <cell r="E402">
            <v>6</v>
          </cell>
          <cell r="F402">
            <v>8.5196260000000006E-3</v>
          </cell>
        </row>
        <row r="403">
          <cell r="B403" t="str">
            <v>Union Pacific</v>
          </cell>
          <cell r="E403">
            <v>6</v>
          </cell>
          <cell r="F403">
            <v>9.919387E-3</v>
          </cell>
        </row>
        <row r="404">
          <cell r="B404" t="str">
            <v>Union Pacific</v>
          </cell>
          <cell r="E404">
            <v>6</v>
          </cell>
          <cell r="F404">
            <v>4.5834720000000002E-2</v>
          </cell>
        </row>
        <row r="405">
          <cell r="B405" t="str">
            <v>Union Pacific</v>
          </cell>
          <cell r="E405">
            <v>6</v>
          </cell>
          <cell r="F405">
            <v>8.8958490000000008E-3</v>
          </cell>
        </row>
        <row r="406">
          <cell r="B406" t="str">
            <v>Union Pacific</v>
          </cell>
          <cell r="E406">
            <v>6</v>
          </cell>
          <cell r="F406">
            <v>9.9194079999999994E-3</v>
          </cell>
        </row>
        <row r="407">
          <cell r="B407" t="str">
            <v>Union Pacific</v>
          </cell>
          <cell r="E407">
            <v>6</v>
          </cell>
          <cell r="F407">
            <v>8.6120999999999993E-3</v>
          </cell>
        </row>
        <row r="408">
          <cell r="B408" t="str">
            <v>Union Pacific</v>
          </cell>
          <cell r="E408">
            <v>6</v>
          </cell>
          <cell r="F408">
            <v>6.6129190000000001E-3</v>
          </cell>
        </row>
        <row r="409">
          <cell r="B409" t="str">
            <v>Union Pacific</v>
          </cell>
          <cell r="E409">
            <v>6</v>
          </cell>
          <cell r="F409">
            <v>3.30643E-3</v>
          </cell>
        </row>
        <row r="410">
          <cell r="B410" t="str">
            <v>Union Pacific</v>
          </cell>
          <cell r="E410">
            <v>6</v>
          </cell>
          <cell r="F410">
            <v>3.3064090000000002E-3</v>
          </cell>
        </row>
        <row r="411">
          <cell r="B411" t="str">
            <v>Union Pacific</v>
          </cell>
          <cell r="E411">
            <v>6</v>
          </cell>
          <cell r="F411">
            <v>6.6129780000000003E-3</v>
          </cell>
        </row>
        <row r="412">
          <cell r="B412" t="str">
            <v>Union Pacific</v>
          </cell>
          <cell r="E412">
            <v>6</v>
          </cell>
          <cell r="F412">
            <v>9.0574929999999998E-3</v>
          </cell>
        </row>
        <row r="413">
          <cell r="B413" t="str">
            <v>Union Pacific</v>
          </cell>
          <cell r="E413">
            <v>6</v>
          </cell>
          <cell r="F413">
            <v>9.9186110000000008E-3</v>
          </cell>
        </row>
        <row r="414">
          <cell r="B414" t="str">
            <v>Union Pacific</v>
          </cell>
          <cell r="E414">
            <v>6</v>
          </cell>
          <cell r="F414">
            <v>6.6123739999999999E-3</v>
          </cell>
        </row>
        <row r="415">
          <cell r="B415" t="str">
            <v>Union Pacific</v>
          </cell>
          <cell r="E415">
            <v>6</v>
          </cell>
          <cell r="F415">
            <v>1.1184909999999999E-2</v>
          </cell>
        </row>
        <row r="416">
          <cell r="B416" t="str">
            <v>Union Pacific</v>
          </cell>
          <cell r="E416">
            <v>6</v>
          </cell>
          <cell r="F416">
            <v>6.6062380000000004E-3</v>
          </cell>
        </row>
        <row r="417">
          <cell r="B417" t="str">
            <v>Union Pacific</v>
          </cell>
          <cell r="E417">
            <v>6</v>
          </cell>
          <cell r="F417">
            <v>2.3957280000000002E-3</v>
          </cell>
        </row>
        <row r="418">
          <cell r="B418" t="str">
            <v>Union Pacific</v>
          </cell>
          <cell r="E418">
            <v>6</v>
          </cell>
          <cell r="F418">
            <v>4.2294489999999997E-3</v>
          </cell>
        </row>
        <row r="419">
          <cell r="B419" t="str">
            <v>Union Pacific</v>
          </cell>
          <cell r="E419">
            <v>6</v>
          </cell>
          <cell r="F419">
            <v>4.4713049999999997E-2</v>
          </cell>
        </row>
        <row r="420">
          <cell r="B420" t="str">
            <v>Union Pacific</v>
          </cell>
          <cell r="E420">
            <v>6</v>
          </cell>
          <cell r="F420">
            <v>6.8691840000000004E-4</v>
          </cell>
        </row>
        <row r="421">
          <cell r="B421" t="str">
            <v>Union Pacific</v>
          </cell>
          <cell r="E421">
            <v>6</v>
          </cell>
          <cell r="F421">
            <v>7.8033880000000005E-4</v>
          </cell>
        </row>
        <row r="422">
          <cell r="B422" t="str">
            <v>Union Pacific</v>
          </cell>
          <cell r="E422">
            <v>6</v>
          </cell>
          <cell r="F422">
            <v>6.5964780000000002E-3</v>
          </cell>
        </row>
        <row r="423">
          <cell r="B423" t="str">
            <v>Union Pacific</v>
          </cell>
          <cell r="E423">
            <v>6</v>
          </cell>
          <cell r="F423">
            <v>1.290582E-2</v>
          </cell>
        </row>
        <row r="424">
          <cell r="B424" t="str">
            <v>Union Pacific</v>
          </cell>
          <cell r="E424">
            <v>6</v>
          </cell>
          <cell r="F424">
            <v>3.5416739999999999E-3</v>
          </cell>
        </row>
        <row r="425">
          <cell r="B425" t="str">
            <v>Union Pacific</v>
          </cell>
          <cell r="E425">
            <v>6</v>
          </cell>
          <cell r="F425">
            <v>4.4161329999999999E-2</v>
          </cell>
        </row>
        <row r="426">
          <cell r="B426" t="str">
            <v>Union Pacific</v>
          </cell>
          <cell r="E426">
            <v>6</v>
          </cell>
          <cell r="F426">
            <v>6.5333820000000001E-4</v>
          </cell>
        </row>
        <row r="427">
          <cell r="B427" t="str">
            <v>Union Pacific</v>
          </cell>
          <cell r="E427">
            <v>6</v>
          </cell>
          <cell r="F427">
            <v>4.5306110000000004E-3</v>
          </cell>
        </row>
        <row r="428">
          <cell r="B428" t="str">
            <v>Union Pacific</v>
          </cell>
          <cell r="E428">
            <v>6</v>
          </cell>
          <cell r="F428">
            <v>5.1550529999999997E-3</v>
          </cell>
        </row>
        <row r="429">
          <cell r="B429" t="str">
            <v>Union Pacific</v>
          </cell>
          <cell r="E429">
            <v>6</v>
          </cell>
          <cell r="F429">
            <v>3.2524189999999999E-3</v>
          </cell>
        </row>
        <row r="430">
          <cell r="B430" t="str">
            <v>Union Pacific</v>
          </cell>
          <cell r="E430">
            <v>6</v>
          </cell>
          <cell r="F430">
            <v>6.5046410000000002E-3</v>
          </cell>
        </row>
        <row r="431">
          <cell r="B431" t="str">
            <v>Union Pacific</v>
          </cell>
          <cell r="E431">
            <v>6</v>
          </cell>
          <cell r="F431">
            <v>2.342323E-2</v>
          </cell>
        </row>
        <row r="432">
          <cell r="B432" t="str">
            <v>Union Pacific</v>
          </cell>
          <cell r="E432">
            <v>6</v>
          </cell>
          <cell r="F432">
            <v>1.8322600000000001E-3</v>
          </cell>
        </row>
        <row r="433">
          <cell r="B433" t="str">
            <v>Union Pacific</v>
          </cell>
          <cell r="E433">
            <v>6</v>
          </cell>
          <cell r="F433">
            <v>3.2374000000000001E-3</v>
          </cell>
        </row>
        <row r="434">
          <cell r="B434" t="str">
            <v>Union Pacific</v>
          </cell>
          <cell r="E434">
            <v>6</v>
          </cell>
          <cell r="F434">
            <v>3.2707420000000001E-3</v>
          </cell>
        </row>
        <row r="435">
          <cell r="B435" t="str">
            <v>Union Pacific</v>
          </cell>
          <cell r="E435">
            <v>6</v>
          </cell>
          <cell r="F435">
            <v>1.8827969999999999E-2</v>
          </cell>
        </row>
        <row r="436">
          <cell r="B436" t="str">
            <v>Union Pacific</v>
          </cell>
          <cell r="E436">
            <v>6</v>
          </cell>
          <cell r="F436">
            <v>8.1900419999999998E-3</v>
          </cell>
        </row>
        <row r="437">
          <cell r="B437" t="str">
            <v>Union Pacific</v>
          </cell>
          <cell r="E437">
            <v>6</v>
          </cell>
          <cell r="F437">
            <v>3.3852130000000001E-2</v>
          </cell>
        </row>
        <row r="438">
          <cell r="B438" t="str">
            <v>Union Pacific</v>
          </cell>
          <cell r="E438">
            <v>6</v>
          </cell>
          <cell r="F438">
            <v>9.2160969999999995E-3</v>
          </cell>
        </row>
        <row r="439">
          <cell r="B439" t="str">
            <v>Union Pacific</v>
          </cell>
          <cell r="E439">
            <v>6</v>
          </cell>
          <cell r="F439">
            <v>4.9777250000000001E-4</v>
          </cell>
        </row>
        <row r="440">
          <cell r="B440" t="str">
            <v>Union Pacific</v>
          </cell>
          <cell r="E440">
            <v>6</v>
          </cell>
          <cell r="F440">
            <v>1.5810520000000002E-2</v>
          </cell>
        </row>
        <row r="441">
          <cell r="B441" t="str">
            <v>Union Pacific</v>
          </cell>
          <cell r="E441">
            <v>6</v>
          </cell>
          <cell r="F441">
            <v>1.4404210000000001E-3</v>
          </cell>
        </row>
        <row r="442">
          <cell r="B442" t="str">
            <v>Union Pacific</v>
          </cell>
          <cell r="E442">
            <v>6</v>
          </cell>
          <cell r="F442">
            <v>3.3099280000000002E-3</v>
          </cell>
        </row>
        <row r="443">
          <cell r="B443" t="str">
            <v>Union Pacific</v>
          </cell>
          <cell r="E443">
            <v>6</v>
          </cell>
          <cell r="F443">
            <v>2.9816479999999999E-3</v>
          </cell>
        </row>
        <row r="444">
          <cell r="B444" t="str">
            <v>Union Pacific</v>
          </cell>
          <cell r="E444">
            <v>6</v>
          </cell>
          <cell r="F444">
            <v>4.2125319999999997E-3</v>
          </cell>
        </row>
        <row r="445">
          <cell r="B445" t="str">
            <v>Union Pacific</v>
          </cell>
          <cell r="E445">
            <v>6</v>
          </cell>
          <cell r="F445">
            <v>3.055735E-3</v>
          </cell>
        </row>
        <row r="446">
          <cell r="B446" t="str">
            <v>Union Pacific</v>
          </cell>
          <cell r="E446">
            <v>6</v>
          </cell>
          <cell r="F446">
            <v>1.4231210000000001E-3</v>
          </cell>
        </row>
        <row r="447">
          <cell r="B447" t="str">
            <v>Union Pacific</v>
          </cell>
          <cell r="E447">
            <v>6</v>
          </cell>
          <cell r="F447">
            <v>4.2665469999999999E-3</v>
          </cell>
        </row>
        <row r="448">
          <cell r="B448" t="str">
            <v>Union Pacific</v>
          </cell>
          <cell r="E448">
            <v>6</v>
          </cell>
          <cell r="F448">
            <v>3.6666120000000001E-3</v>
          </cell>
        </row>
        <row r="449">
          <cell r="B449" t="str">
            <v>Union Pacific</v>
          </cell>
          <cell r="E449">
            <v>6</v>
          </cell>
          <cell r="F449">
            <v>3.941193E-3</v>
          </cell>
        </row>
        <row r="450">
          <cell r="B450" t="str">
            <v>Union Pacific</v>
          </cell>
          <cell r="E450">
            <v>6</v>
          </cell>
          <cell r="F450">
            <v>4.2813349999999998E-3</v>
          </cell>
        </row>
        <row r="451">
          <cell r="B451" t="str">
            <v>Union Pacific</v>
          </cell>
          <cell r="E451">
            <v>6</v>
          </cell>
          <cell r="F451">
            <v>4.2813349999999998E-3</v>
          </cell>
        </row>
        <row r="452">
          <cell r="B452" t="str">
            <v>Union Pacific</v>
          </cell>
          <cell r="E452">
            <v>6</v>
          </cell>
          <cell r="F452">
            <v>5.7460610000000002E-3</v>
          </cell>
        </row>
        <row r="453">
          <cell r="B453" t="str">
            <v>Union Pacific</v>
          </cell>
          <cell r="E453">
            <v>6</v>
          </cell>
          <cell r="F453">
            <v>4.2813349999999998E-3</v>
          </cell>
        </row>
        <row r="454">
          <cell r="B454" t="str">
            <v>Union Pacific</v>
          </cell>
          <cell r="E454">
            <v>6</v>
          </cell>
          <cell r="F454">
            <v>4.2813349999999998E-3</v>
          </cell>
        </row>
        <row r="455">
          <cell r="B455" t="str">
            <v>Union Pacific</v>
          </cell>
          <cell r="E455">
            <v>6</v>
          </cell>
          <cell r="F455">
            <v>4.2813920000000002E-3</v>
          </cell>
        </row>
        <row r="456">
          <cell r="B456" t="str">
            <v>Union Pacific</v>
          </cell>
          <cell r="E456">
            <v>6</v>
          </cell>
          <cell r="F456">
            <v>3.331695E-3</v>
          </cell>
        </row>
        <row r="457">
          <cell r="B457" t="str">
            <v>Union Pacific</v>
          </cell>
          <cell r="E457">
            <v>6</v>
          </cell>
          <cell r="F457">
            <v>4.2814489999999997E-3</v>
          </cell>
        </row>
        <row r="458">
          <cell r="B458" t="str">
            <v>Union Pacific</v>
          </cell>
          <cell r="E458">
            <v>6</v>
          </cell>
          <cell r="F458">
            <v>4.281473E-3</v>
          </cell>
        </row>
        <row r="459">
          <cell r="B459" t="str">
            <v>Union Pacific</v>
          </cell>
          <cell r="E459">
            <v>6</v>
          </cell>
          <cell r="F459">
            <v>4.2815309999999999E-3</v>
          </cell>
        </row>
        <row r="460">
          <cell r="B460" t="str">
            <v>Union Pacific</v>
          </cell>
          <cell r="E460">
            <v>6</v>
          </cell>
          <cell r="F460">
            <v>4.281473E-3</v>
          </cell>
        </row>
        <row r="461">
          <cell r="B461" t="str">
            <v>Union Pacific</v>
          </cell>
          <cell r="E461">
            <v>6</v>
          </cell>
          <cell r="F461">
            <v>4.2815309999999999E-3</v>
          </cell>
        </row>
        <row r="462">
          <cell r="B462" t="str">
            <v>Union Pacific</v>
          </cell>
          <cell r="E462">
            <v>6</v>
          </cell>
          <cell r="F462">
            <v>3.375454E-3</v>
          </cell>
        </row>
        <row r="463">
          <cell r="B463" t="str">
            <v>Union Pacific</v>
          </cell>
          <cell r="E463">
            <v>6</v>
          </cell>
          <cell r="F463">
            <v>2.9046559999999998E-3</v>
          </cell>
        </row>
        <row r="464">
          <cell r="B464" t="str">
            <v>Union Pacific</v>
          </cell>
          <cell r="E464">
            <v>6</v>
          </cell>
          <cell r="F464">
            <v>4.7172270000000001E-3</v>
          </cell>
        </row>
        <row r="465">
          <cell r="B465" t="str">
            <v>Union Pacific</v>
          </cell>
          <cell r="E465">
            <v>6</v>
          </cell>
          <cell r="F465">
            <v>1.610453E-3</v>
          </cell>
        </row>
        <row r="466">
          <cell r="B466" t="str">
            <v>Union Pacific</v>
          </cell>
          <cell r="E466">
            <v>6</v>
          </cell>
          <cell r="F466">
            <v>2.9940339999999999E-2</v>
          </cell>
        </row>
        <row r="467">
          <cell r="B467" t="str">
            <v>Union Pacific</v>
          </cell>
          <cell r="E467">
            <v>6</v>
          </cell>
          <cell r="F467">
            <v>4.2031409999999996E-3</v>
          </cell>
        </row>
        <row r="468">
          <cell r="B468" t="str">
            <v>Union Pacific</v>
          </cell>
          <cell r="E468">
            <v>6</v>
          </cell>
          <cell r="F468">
            <v>4.1105819999999998E-3</v>
          </cell>
        </row>
        <row r="469">
          <cell r="B469" t="str">
            <v>Union Pacific</v>
          </cell>
          <cell r="E469">
            <v>6</v>
          </cell>
          <cell r="F469">
            <v>4.018247E-3</v>
          </cell>
        </row>
        <row r="470">
          <cell r="B470" t="str">
            <v>Union Pacific</v>
          </cell>
          <cell r="E470">
            <v>6</v>
          </cell>
          <cell r="F470">
            <v>3.925815E-3</v>
          </cell>
        </row>
        <row r="471">
          <cell r="B471" t="str">
            <v>Union Pacific</v>
          </cell>
          <cell r="E471">
            <v>6</v>
          </cell>
          <cell r="F471">
            <v>1.3949450000000001E-3</v>
          </cell>
        </row>
        <row r="472">
          <cell r="B472" t="str">
            <v>Union Pacific</v>
          </cell>
          <cell r="E472">
            <v>6</v>
          </cell>
          <cell r="F472">
            <v>3.5139559999999999E-3</v>
          </cell>
        </row>
        <row r="473">
          <cell r="B473" t="str">
            <v>Union Pacific</v>
          </cell>
          <cell r="E473">
            <v>6</v>
          </cell>
          <cell r="F473">
            <v>1.1880480000000001E-2</v>
          </cell>
        </row>
        <row r="474">
          <cell r="B474" t="str">
            <v>Union Pacific</v>
          </cell>
          <cell r="E474">
            <v>6</v>
          </cell>
          <cell r="F474">
            <v>5.0410699999999999E-3</v>
          </cell>
        </row>
        <row r="475">
          <cell r="B475" t="str">
            <v>Union Pacific</v>
          </cell>
          <cell r="E475">
            <v>6</v>
          </cell>
          <cell r="F475">
            <v>2.3944190000000001E-2</v>
          </cell>
        </row>
        <row r="476">
          <cell r="B476" t="str">
            <v>Union Pacific</v>
          </cell>
          <cell r="E476">
            <v>6</v>
          </cell>
          <cell r="F476">
            <v>3.923488E-2</v>
          </cell>
        </row>
        <row r="477">
          <cell r="B477" t="str">
            <v>Union Pacific</v>
          </cell>
          <cell r="E477">
            <v>6</v>
          </cell>
          <cell r="F477">
            <v>4.8741519999999997E-3</v>
          </cell>
        </row>
        <row r="478">
          <cell r="B478" t="str">
            <v>Union Pacific</v>
          </cell>
          <cell r="E478">
            <v>6</v>
          </cell>
          <cell r="F478">
            <v>4.363642E-3</v>
          </cell>
        </row>
        <row r="479">
          <cell r="B479" t="str">
            <v>Union Pacific</v>
          </cell>
          <cell r="E479">
            <v>6</v>
          </cell>
          <cell r="F479">
            <v>1.407667E-3</v>
          </cell>
        </row>
        <row r="480">
          <cell r="B480" t="str">
            <v>Union Pacific</v>
          </cell>
          <cell r="E480">
            <v>6</v>
          </cell>
          <cell r="F480">
            <v>3.9526750000000001E-3</v>
          </cell>
        </row>
        <row r="481">
          <cell r="B481" t="str">
            <v>Union Pacific</v>
          </cell>
          <cell r="E481">
            <v>6</v>
          </cell>
          <cell r="F481">
            <v>3.7655010000000003E-2</v>
          </cell>
        </row>
        <row r="482">
          <cell r="B482" t="str">
            <v>Union Pacific</v>
          </cell>
          <cell r="E482">
            <v>6</v>
          </cell>
          <cell r="F482">
            <v>7.2088819999999995E-5</v>
          </cell>
        </row>
        <row r="483">
          <cell r="B483" t="str">
            <v>Union Pacific</v>
          </cell>
          <cell r="E483">
            <v>6</v>
          </cell>
          <cell r="F483">
            <v>4.5014510000000001E-3</v>
          </cell>
        </row>
        <row r="484">
          <cell r="B484" t="str">
            <v>Union Pacific</v>
          </cell>
          <cell r="E484">
            <v>6</v>
          </cell>
          <cell r="F484">
            <v>4.0947730000000003E-3</v>
          </cell>
        </row>
        <row r="485">
          <cell r="B485" t="str">
            <v>Union Pacific</v>
          </cell>
          <cell r="E485">
            <v>6</v>
          </cell>
          <cell r="F485">
            <v>5.1401240000000001E-2</v>
          </cell>
        </row>
        <row r="486">
          <cell r="B486" t="str">
            <v>Union Pacific</v>
          </cell>
          <cell r="E486">
            <v>6</v>
          </cell>
          <cell r="F486">
            <v>3.2765250000000003E-2</v>
          </cell>
        </row>
        <row r="487">
          <cell r="B487" t="str">
            <v>N/A</v>
          </cell>
          <cell r="E487">
            <v>5</v>
          </cell>
          <cell r="F487">
            <v>0.1460081</v>
          </cell>
        </row>
        <row r="488">
          <cell r="B488" t="str">
            <v>N/A</v>
          </cell>
          <cell r="E488">
            <v>5</v>
          </cell>
          <cell r="F488">
            <v>3.5827540000000001E-3</v>
          </cell>
        </row>
        <row r="489">
          <cell r="B489" t="str">
            <v>N/A</v>
          </cell>
          <cell r="E489">
            <v>5</v>
          </cell>
          <cell r="F489">
            <v>4.1934880000000004E-3</v>
          </cell>
        </row>
        <row r="490">
          <cell r="B490" t="str">
            <v>N/A</v>
          </cell>
          <cell r="E490">
            <v>5</v>
          </cell>
          <cell r="F490">
            <v>4.0381630000000002E-2</v>
          </cell>
        </row>
        <row r="491">
          <cell r="B491" t="str">
            <v>N/A</v>
          </cell>
          <cell r="E491">
            <v>5</v>
          </cell>
          <cell r="F491">
            <v>2.6519310000000001E-2</v>
          </cell>
        </row>
        <row r="492">
          <cell r="B492" t="str">
            <v>N/A</v>
          </cell>
          <cell r="E492">
            <v>5</v>
          </cell>
          <cell r="F492">
            <v>8.1103719999999994E-3</v>
          </cell>
        </row>
        <row r="493">
          <cell r="B493" t="str">
            <v>N/A</v>
          </cell>
          <cell r="E493">
            <v>5</v>
          </cell>
          <cell r="F493">
            <v>3.1420720000000001E-3</v>
          </cell>
        </row>
        <row r="494">
          <cell r="B494" t="str">
            <v>N/A</v>
          </cell>
          <cell r="E494">
            <v>5</v>
          </cell>
          <cell r="F494">
            <v>1.5604139999999999E-4</v>
          </cell>
        </row>
        <row r="495">
          <cell r="B495" t="str">
            <v>N/A</v>
          </cell>
          <cell r="E495">
            <v>5</v>
          </cell>
          <cell r="F495">
            <v>0.2784239</v>
          </cell>
        </row>
        <row r="496">
          <cell r="B496" t="str">
            <v>N/A</v>
          </cell>
          <cell r="E496">
            <v>5</v>
          </cell>
          <cell r="F496">
            <v>5.3126310000000003E-2</v>
          </cell>
        </row>
        <row r="497">
          <cell r="B497" t="str">
            <v>N/A</v>
          </cell>
          <cell r="E497">
            <v>5</v>
          </cell>
          <cell r="F497">
            <v>1.812573E-2</v>
          </cell>
        </row>
        <row r="498">
          <cell r="B498" t="str">
            <v>N/A</v>
          </cell>
          <cell r="E498">
            <v>5</v>
          </cell>
          <cell r="F498">
            <v>3.1293649999999999E-2</v>
          </cell>
        </row>
        <row r="499">
          <cell r="B499" t="str">
            <v>N/A</v>
          </cell>
          <cell r="E499">
            <v>5</v>
          </cell>
          <cell r="F499">
            <v>2.2932370000000001E-2</v>
          </cell>
        </row>
        <row r="500">
          <cell r="B500" t="str">
            <v>N/A</v>
          </cell>
          <cell r="E500">
            <v>5</v>
          </cell>
          <cell r="F500">
            <v>4.8644220000000002E-2</v>
          </cell>
        </row>
        <row r="501">
          <cell r="B501" t="str">
            <v>N/A</v>
          </cell>
          <cell r="E501">
            <v>5</v>
          </cell>
          <cell r="F501">
            <v>5.134201E-2</v>
          </cell>
        </row>
        <row r="502">
          <cell r="B502" t="str">
            <v>N/A</v>
          </cell>
          <cell r="E502">
            <v>5</v>
          </cell>
          <cell r="F502">
            <v>1.4809859999999999E-2</v>
          </cell>
        </row>
        <row r="503">
          <cell r="B503" t="str">
            <v>N/A</v>
          </cell>
          <cell r="E503">
            <v>5</v>
          </cell>
          <cell r="F503">
            <v>5.6106009999999998E-3</v>
          </cell>
        </row>
        <row r="504">
          <cell r="B504" t="str">
            <v>N/A</v>
          </cell>
          <cell r="E504">
            <v>5</v>
          </cell>
          <cell r="F504">
            <v>1.6653950000000001E-2</v>
          </cell>
        </row>
        <row r="505">
          <cell r="B505" t="str">
            <v>N/A</v>
          </cell>
          <cell r="E505">
            <v>5</v>
          </cell>
          <cell r="F505">
            <v>0.43348439999999999</v>
          </cell>
        </row>
        <row r="506">
          <cell r="B506" t="str">
            <v>N/A</v>
          </cell>
          <cell r="E506">
            <v>5</v>
          </cell>
          <cell r="F506">
            <v>2.3180220000000001E-2</v>
          </cell>
        </row>
        <row r="507">
          <cell r="B507" t="str">
            <v>N/A</v>
          </cell>
          <cell r="E507">
            <v>5</v>
          </cell>
          <cell r="F507">
            <v>3.1554539999999998E-3</v>
          </cell>
        </row>
        <row r="508">
          <cell r="B508" t="str">
            <v>N/A</v>
          </cell>
          <cell r="E508">
            <v>5</v>
          </cell>
          <cell r="F508">
            <v>5.1995479999999997E-2</v>
          </cell>
        </row>
        <row r="509">
          <cell r="B509" t="str">
            <v>N/A</v>
          </cell>
          <cell r="E509">
            <v>5</v>
          </cell>
          <cell r="F509">
            <v>9.0288949999999999E-4</v>
          </cell>
        </row>
        <row r="510">
          <cell r="B510" t="str">
            <v>N/A</v>
          </cell>
          <cell r="E510">
            <v>5</v>
          </cell>
          <cell r="F510">
            <v>6.6077230000000002E-3</v>
          </cell>
        </row>
        <row r="511">
          <cell r="B511" t="str">
            <v>N/A</v>
          </cell>
          <cell r="E511">
            <v>5</v>
          </cell>
          <cell r="F511">
            <v>4.9177129999999999E-2</v>
          </cell>
        </row>
        <row r="512">
          <cell r="B512" t="str">
            <v>N/A</v>
          </cell>
          <cell r="E512">
            <v>5</v>
          </cell>
          <cell r="F512">
            <v>1.206925E-2</v>
          </cell>
        </row>
        <row r="513">
          <cell r="B513" t="str">
            <v>N/A</v>
          </cell>
          <cell r="E513">
            <v>5</v>
          </cell>
          <cell r="F513">
            <v>0.47259129999999999</v>
          </cell>
        </row>
        <row r="514">
          <cell r="B514" t="str">
            <v>N/A</v>
          </cell>
          <cell r="E514">
            <v>5</v>
          </cell>
          <cell r="F514">
            <v>8.9965979999999997E-3</v>
          </cell>
        </row>
        <row r="515">
          <cell r="B515" t="str">
            <v>N/A</v>
          </cell>
          <cell r="E515">
            <v>5</v>
          </cell>
          <cell r="F515">
            <v>6.8277980000000004E-3</v>
          </cell>
        </row>
        <row r="516">
          <cell r="B516" t="str">
            <v>N/A</v>
          </cell>
          <cell r="E516">
            <v>5</v>
          </cell>
          <cell r="F516">
            <v>5.676838E-3</v>
          </cell>
        </row>
        <row r="517">
          <cell r="B517" t="str">
            <v>N/A</v>
          </cell>
          <cell r="E517">
            <v>5</v>
          </cell>
          <cell r="F517">
            <v>0.1024452</v>
          </cell>
        </row>
        <row r="518">
          <cell r="B518" t="str">
            <v>N/A</v>
          </cell>
          <cell r="E518">
            <v>5</v>
          </cell>
          <cell r="F518">
            <v>0.25545639999999997</v>
          </cell>
        </row>
        <row r="519">
          <cell r="B519" t="str">
            <v>N/A</v>
          </cell>
          <cell r="E519">
            <v>5</v>
          </cell>
          <cell r="F519">
            <v>2.3029379999999999E-2</v>
          </cell>
        </row>
        <row r="520">
          <cell r="B520" t="str">
            <v>N/A</v>
          </cell>
          <cell r="E520">
            <v>5</v>
          </cell>
          <cell r="F520">
            <v>1.8282890000000001E-3</v>
          </cell>
        </row>
        <row r="521">
          <cell r="B521" t="str">
            <v>N/A</v>
          </cell>
          <cell r="E521">
            <v>5</v>
          </cell>
          <cell r="F521">
            <v>1.341444E-3</v>
          </cell>
        </row>
        <row r="522">
          <cell r="B522" t="str">
            <v>N/A</v>
          </cell>
          <cell r="E522">
            <v>5</v>
          </cell>
          <cell r="F522">
            <v>8.5472610000000002E-4</v>
          </cell>
        </row>
        <row r="523">
          <cell r="B523" t="str">
            <v>N/A</v>
          </cell>
          <cell r="E523">
            <v>5</v>
          </cell>
          <cell r="F523">
            <v>3.6792109999999998E-4</v>
          </cell>
        </row>
        <row r="524">
          <cell r="B524" t="str">
            <v>N/A</v>
          </cell>
          <cell r="E524">
            <v>5</v>
          </cell>
          <cell r="F524">
            <v>4.0220799999999999E-3</v>
          </cell>
        </row>
        <row r="525">
          <cell r="B525" t="str">
            <v>N/A</v>
          </cell>
          <cell r="E525">
            <v>5</v>
          </cell>
          <cell r="F525">
            <v>8.1095710000000001E-2</v>
          </cell>
        </row>
        <row r="526">
          <cell r="B526" t="str">
            <v>N/A</v>
          </cell>
          <cell r="E526">
            <v>5</v>
          </cell>
          <cell r="F526">
            <v>4.2097649999999999E-3</v>
          </cell>
        </row>
        <row r="527">
          <cell r="B527" t="str">
            <v>N/A</v>
          </cell>
          <cell r="E527">
            <v>5</v>
          </cell>
          <cell r="F527">
            <v>3.7967869999999998E-3</v>
          </cell>
        </row>
        <row r="528">
          <cell r="B528" t="str">
            <v>N/A</v>
          </cell>
          <cell r="E528">
            <v>5</v>
          </cell>
          <cell r="F528">
            <v>7.9714309999999993E-3</v>
          </cell>
        </row>
        <row r="529">
          <cell r="B529" t="str">
            <v>N/A</v>
          </cell>
          <cell r="E529">
            <v>5</v>
          </cell>
          <cell r="F529">
            <v>7.9713700000000002E-3</v>
          </cell>
        </row>
        <row r="530">
          <cell r="B530" t="str">
            <v>N/A</v>
          </cell>
          <cell r="E530">
            <v>5</v>
          </cell>
          <cell r="F530">
            <v>1.906874E-3</v>
          </cell>
        </row>
        <row r="531">
          <cell r="B531" t="str">
            <v>N/A</v>
          </cell>
          <cell r="E531">
            <v>5</v>
          </cell>
          <cell r="F531">
            <v>2.0865219999999999E-3</v>
          </cell>
        </row>
        <row r="532">
          <cell r="B532" t="str">
            <v>N/A</v>
          </cell>
          <cell r="E532">
            <v>5</v>
          </cell>
          <cell r="F532">
            <v>1.789129E-3</v>
          </cell>
        </row>
        <row r="533">
          <cell r="B533" t="str">
            <v>N/A</v>
          </cell>
          <cell r="E533">
            <v>5</v>
          </cell>
          <cell r="F533">
            <v>9.8896729999999999E-4</v>
          </cell>
        </row>
        <row r="534">
          <cell r="B534" t="str">
            <v>N/A</v>
          </cell>
          <cell r="E534">
            <v>5</v>
          </cell>
          <cell r="F534">
            <v>2.0006519999999999E-3</v>
          </cell>
        </row>
        <row r="535">
          <cell r="B535" t="str">
            <v>N/A</v>
          </cell>
          <cell r="E535">
            <v>5</v>
          </cell>
          <cell r="F535">
            <v>9.6488710000000003E-4</v>
          </cell>
        </row>
        <row r="536">
          <cell r="B536" t="str">
            <v>N/A</v>
          </cell>
          <cell r="E536">
            <v>5</v>
          </cell>
          <cell r="F536">
            <v>3.4268149999999997E-2</v>
          </cell>
        </row>
        <row r="537">
          <cell r="B537" t="str">
            <v>N/A</v>
          </cell>
          <cell r="E537">
            <v>5</v>
          </cell>
          <cell r="F537">
            <v>3.1983100000000002E-3</v>
          </cell>
        </row>
        <row r="538">
          <cell r="B538" t="str">
            <v>N/A</v>
          </cell>
          <cell r="E538">
            <v>5</v>
          </cell>
          <cell r="F538">
            <v>3.1981890000000002E-3</v>
          </cell>
        </row>
        <row r="539">
          <cell r="B539" t="str">
            <v>N/A</v>
          </cell>
          <cell r="E539">
            <v>5</v>
          </cell>
          <cell r="F539">
            <v>1.8696850000000001E-2</v>
          </cell>
        </row>
        <row r="540">
          <cell r="B540" t="str">
            <v>N/A</v>
          </cell>
          <cell r="E540">
            <v>5</v>
          </cell>
          <cell r="F540">
            <v>2.8374630000000001E-2</v>
          </cell>
        </row>
        <row r="541">
          <cell r="B541" t="str">
            <v>N/A</v>
          </cell>
          <cell r="E541">
            <v>5</v>
          </cell>
          <cell r="F541">
            <v>1.6628130000000001E-2</v>
          </cell>
        </row>
        <row r="542">
          <cell r="B542" t="str">
            <v>N/A</v>
          </cell>
          <cell r="E542">
            <v>5</v>
          </cell>
          <cell r="F542">
            <v>4.483323E-3</v>
          </cell>
        </row>
        <row r="543">
          <cell r="B543" t="str">
            <v>N/A</v>
          </cell>
          <cell r="E543">
            <v>5</v>
          </cell>
          <cell r="F543">
            <v>0.1052612</v>
          </cell>
        </row>
        <row r="544">
          <cell r="B544" t="str">
            <v>N/A</v>
          </cell>
          <cell r="E544">
            <v>5</v>
          </cell>
          <cell r="F544">
            <v>1.4011780000000001E-3</v>
          </cell>
        </row>
        <row r="545">
          <cell r="B545" t="str">
            <v>N/A</v>
          </cell>
          <cell r="E545">
            <v>5</v>
          </cell>
          <cell r="F545">
            <v>8.3261700000000008E-3</v>
          </cell>
        </row>
        <row r="546">
          <cell r="B546" t="str">
            <v>N/A</v>
          </cell>
          <cell r="E546">
            <v>5</v>
          </cell>
          <cell r="F546">
            <v>1.7765350000000001E-3</v>
          </cell>
        </row>
        <row r="547">
          <cell r="B547" t="str">
            <v>N/A</v>
          </cell>
          <cell r="E547">
            <v>5</v>
          </cell>
          <cell r="F547">
            <v>1.2036079999999999E-2</v>
          </cell>
        </row>
        <row r="548">
          <cell r="B548" t="str">
            <v>N/A</v>
          </cell>
          <cell r="E548">
            <v>5</v>
          </cell>
          <cell r="F548">
            <v>1.8076200000000001E-2</v>
          </cell>
        </row>
        <row r="549">
          <cell r="B549" t="str">
            <v>N/A</v>
          </cell>
          <cell r="E549">
            <v>5</v>
          </cell>
          <cell r="F549">
            <v>4.7833069999999998E-2</v>
          </cell>
        </row>
        <row r="550">
          <cell r="B550" t="str">
            <v>N/A</v>
          </cell>
          <cell r="E550">
            <v>5</v>
          </cell>
          <cell r="F550">
            <v>2.389633E-2</v>
          </cell>
        </row>
        <row r="551">
          <cell r="B551" t="str">
            <v>N/A</v>
          </cell>
          <cell r="E551">
            <v>5</v>
          </cell>
          <cell r="F551">
            <v>4.0549799999999997E-2</v>
          </cell>
        </row>
        <row r="552">
          <cell r="B552" t="str">
            <v>N/A</v>
          </cell>
          <cell r="E552">
            <v>5</v>
          </cell>
          <cell r="F552">
            <v>4.6087639999999996E-3</v>
          </cell>
        </row>
        <row r="553">
          <cell r="B553" t="str">
            <v>N/A</v>
          </cell>
          <cell r="E553">
            <v>5</v>
          </cell>
          <cell r="F553">
            <v>1.186801E-2</v>
          </cell>
        </row>
        <row r="554">
          <cell r="B554" t="str">
            <v>N/A</v>
          </cell>
          <cell r="E554">
            <v>5</v>
          </cell>
          <cell r="F554">
            <v>4.1307460000000002E-3</v>
          </cell>
        </row>
        <row r="555">
          <cell r="B555" t="str">
            <v>N/A</v>
          </cell>
          <cell r="E555">
            <v>5</v>
          </cell>
          <cell r="F555">
            <v>3.492649E-3</v>
          </cell>
        </row>
        <row r="556">
          <cell r="B556" t="str">
            <v>N/A</v>
          </cell>
          <cell r="E556">
            <v>5</v>
          </cell>
          <cell r="F556">
            <v>2.5977719999999999E-3</v>
          </cell>
        </row>
        <row r="557">
          <cell r="B557" t="str">
            <v>N/A</v>
          </cell>
          <cell r="E557">
            <v>5</v>
          </cell>
          <cell r="F557">
            <v>4.768816E-2</v>
          </cell>
        </row>
        <row r="558">
          <cell r="B558" t="str">
            <v>N/A</v>
          </cell>
          <cell r="E558">
            <v>5</v>
          </cell>
          <cell r="F558">
            <v>6.8102240000000001E-3</v>
          </cell>
        </row>
        <row r="559">
          <cell r="B559" t="str">
            <v>N/A</v>
          </cell>
          <cell r="E559">
            <v>5</v>
          </cell>
          <cell r="F559">
            <v>6.067224E-4</v>
          </cell>
        </row>
        <row r="560">
          <cell r="B560" t="str">
            <v>N/A</v>
          </cell>
          <cell r="E560">
            <v>5</v>
          </cell>
          <cell r="F560">
            <v>9.2502069999999999E-3</v>
          </cell>
        </row>
        <row r="561">
          <cell r="B561" t="str">
            <v>N/A</v>
          </cell>
          <cell r="E561">
            <v>5</v>
          </cell>
          <cell r="F561">
            <v>1.0003259999999999E-4</v>
          </cell>
        </row>
        <row r="562">
          <cell r="B562" t="str">
            <v>N/A</v>
          </cell>
          <cell r="E562">
            <v>5</v>
          </cell>
          <cell r="F562">
            <v>5.3338209999999999E-3</v>
          </cell>
        </row>
        <row r="563">
          <cell r="B563" t="str">
            <v>N/A</v>
          </cell>
          <cell r="E563">
            <v>5</v>
          </cell>
          <cell r="F563">
            <v>6.7257549999999999E-3</v>
          </cell>
        </row>
        <row r="564">
          <cell r="B564" t="str">
            <v>N/A</v>
          </cell>
          <cell r="E564">
            <v>5</v>
          </cell>
          <cell r="F564">
            <v>2.4420649999999999E-2</v>
          </cell>
        </row>
        <row r="565">
          <cell r="B565" t="str">
            <v>N/A</v>
          </cell>
          <cell r="E565">
            <v>5</v>
          </cell>
          <cell r="F565">
            <v>3.2859999999999999E-3</v>
          </cell>
        </row>
        <row r="566">
          <cell r="B566" t="str">
            <v>N/A</v>
          </cell>
          <cell r="E566">
            <v>5</v>
          </cell>
          <cell r="F566">
            <v>2.2038949999999998E-6</v>
          </cell>
        </row>
        <row r="567">
          <cell r="B567" t="str">
            <v>N/A</v>
          </cell>
          <cell r="E567">
            <v>5</v>
          </cell>
          <cell r="F567">
            <v>1.4723760000000001E-3</v>
          </cell>
        </row>
        <row r="568">
          <cell r="B568" t="str">
            <v>N/A</v>
          </cell>
          <cell r="E568">
            <v>5</v>
          </cell>
          <cell r="F568">
            <v>2.6033760000000001E-3</v>
          </cell>
        </row>
        <row r="569">
          <cell r="B569" t="str">
            <v>N/A</v>
          </cell>
          <cell r="E569">
            <v>5</v>
          </cell>
          <cell r="F569">
            <v>2.8900889999999999E-2</v>
          </cell>
        </row>
        <row r="570">
          <cell r="B570" t="str">
            <v>N/A</v>
          </cell>
          <cell r="E570">
            <v>5</v>
          </cell>
          <cell r="F570">
            <v>6.5992250000000002E-3</v>
          </cell>
        </row>
        <row r="571">
          <cell r="B571" t="str">
            <v>N/A</v>
          </cell>
          <cell r="E571">
            <v>5</v>
          </cell>
          <cell r="F571">
            <v>2.3040830000000002E-2</v>
          </cell>
        </row>
        <row r="572">
          <cell r="B572" t="str">
            <v>N/A</v>
          </cell>
          <cell r="E572">
            <v>5</v>
          </cell>
          <cell r="F572">
            <v>1.3042150000000001E-2</v>
          </cell>
        </row>
        <row r="573">
          <cell r="B573" t="str">
            <v>N/A</v>
          </cell>
          <cell r="E573">
            <v>5</v>
          </cell>
          <cell r="F573">
            <v>1.032629E-2</v>
          </cell>
        </row>
        <row r="574">
          <cell r="B574" t="str">
            <v>N/A</v>
          </cell>
          <cell r="E574">
            <v>5</v>
          </cell>
          <cell r="F574">
            <v>6.2740259999999998E-4</v>
          </cell>
        </row>
        <row r="575">
          <cell r="B575" t="str">
            <v>N/A</v>
          </cell>
          <cell r="E575">
            <v>5</v>
          </cell>
          <cell r="F575">
            <v>4.309027E-3</v>
          </cell>
        </row>
        <row r="576">
          <cell r="B576" t="str">
            <v>N/A</v>
          </cell>
          <cell r="E576">
            <v>5</v>
          </cell>
          <cell r="F576">
            <v>7.3357309999999995E-2</v>
          </cell>
        </row>
        <row r="577">
          <cell r="B577" t="str">
            <v>N/A</v>
          </cell>
          <cell r="E577">
            <v>5</v>
          </cell>
          <cell r="F577">
            <v>2.9871749999999999E-3</v>
          </cell>
        </row>
        <row r="578">
          <cell r="B578" t="str">
            <v>N/A</v>
          </cell>
          <cell r="E578">
            <v>5</v>
          </cell>
          <cell r="F578">
            <v>7.9956939999999994E-3</v>
          </cell>
        </row>
        <row r="579">
          <cell r="B579" t="str">
            <v>N/A</v>
          </cell>
          <cell r="E579">
            <v>5</v>
          </cell>
          <cell r="F579">
            <v>0.1120649</v>
          </cell>
        </row>
        <row r="580">
          <cell r="B580" t="str">
            <v>N/A</v>
          </cell>
          <cell r="E580">
            <v>5</v>
          </cell>
          <cell r="F580">
            <v>8.0628419999999995E-4</v>
          </cell>
        </row>
        <row r="581">
          <cell r="B581" t="str">
            <v>N/A</v>
          </cell>
          <cell r="E581">
            <v>5</v>
          </cell>
          <cell r="F581">
            <v>5.3445380000000002E-3</v>
          </cell>
        </row>
        <row r="582">
          <cell r="B582" t="str">
            <v>N/A</v>
          </cell>
          <cell r="E582">
            <v>5</v>
          </cell>
          <cell r="F582">
            <v>8.1307440000000005E-3</v>
          </cell>
        </row>
        <row r="583">
          <cell r="B583" t="str">
            <v>N/A</v>
          </cell>
          <cell r="E583">
            <v>5</v>
          </cell>
          <cell r="F583">
            <v>2.9200960000000001E-3</v>
          </cell>
        </row>
        <row r="584">
          <cell r="B584" t="str">
            <v>N/A</v>
          </cell>
          <cell r="E584">
            <v>5</v>
          </cell>
          <cell r="F584">
            <v>3.6071579999999999E-2</v>
          </cell>
        </row>
        <row r="585">
          <cell r="B585" t="str">
            <v>Abandoned Railroad</v>
          </cell>
          <cell r="E585">
            <v>5</v>
          </cell>
          <cell r="F585">
            <v>5.068917E-3</v>
          </cell>
        </row>
        <row r="586">
          <cell r="B586" t="str">
            <v>Abandoned Railroad</v>
          </cell>
          <cell r="E586">
            <v>5</v>
          </cell>
          <cell r="F586">
            <v>3.6621420000000002E-3</v>
          </cell>
        </row>
        <row r="587">
          <cell r="B587" t="str">
            <v>Abandoned Railroad</v>
          </cell>
          <cell r="E587">
            <v>5</v>
          </cell>
          <cell r="F587">
            <v>1.5134440000000001E-3</v>
          </cell>
        </row>
        <row r="588">
          <cell r="B588" t="str">
            <v>Abandoned Railroad</v>
          </cell>
          <cell r="E588">
            <v>5</v>
          </cell>
          <cell r="F588">
            <v>1.090431E-2</v>
          </cell>
        </row>
        <row r="589">
          <cell r="B589" t="str">
            <v>Abandoned Railroad</v>
          </cell>
          <cell r="E589">
            <v>5</v>
          </cell>
          <cell r="F589">
            <v>3.3493889999999999E-3</v>
          </cell>
        </row>
        <row r="590">
          <cell r="B590" t="str">
            <v>Abandoned Railroad</v>
          </cell>
          <cell r="E590">
            <v>5</v>
          </cell>
          <cell r="F590">
            <v>3.1166449999999998E-2</v>
          </cell>
        </row>
        <row r="591">
          <cell r="B591" t="str">
            <v>BNSF</v>
          </cell>
          <cell r="E591">
            <v>5</v>
          </cell>
          <cell r="F591">
            <v>7.5750790000000002E-4</v>
          </cell>
        </row>
        <row r="592">
          <cell r="B592" t="str">
            <v>BNSF</v>
          </cell>
          <cell r="E592">
            <v>5</v>
          </cell>
          <cell r="F592">
            <v>3.3750540000000002E-3</v>
          </cell>
        </row>
        <row r="593">
          <cell r="B593" t="str">
            <v>BNSF</v>
          </cell>
          <cell r="E593">
            <v>5</v>
          </cell>
          <cell r="F593">
            <v>1.895451E-3</v>
          </cell>
        </row>
        <row r="594">
          <cell r="B594" t="str">
            <v>BNSF</v>
          </cell>
          <cell r="E594">
            <v>5</v>
          </cell>
          <cell r="F594">
            <v>1.049335E-3</v>
          </cell>
        </row>
        <row r="595">
          <cell r="B595" t="str">
            <v>BNSF</v>
          </cell>
          <cell r="E595">
            <v>5</v>
          </cell>
          <cell r="F595">
            <v>6.287417E-3</v>
          </cell>
        </row>
        <row r="596">
          <cell r="B596" t="str">
            <v>BNSF</v>
          </cell>
          <cell r="E596">
            <v>5</v>
          </cell>
          <cell r="F596">
            <v>8.333107E-4</v>
          </cell>
        </row>
        <row r="597">
          <cell r="B597" t="str">
            <v>BNSF</v>
          </cell>
          <cell r="E597">
            <v>5</v>
          </cell>
          <cell r="F597">
            <v>4.0365619999999996E-3</v>
          </cell>
        </row>
        <row r="598">
          <cell r="B598" t="str">
            <v>BNSF</v>
          </cell>
          <cell r="E598">
            <v>5</v>
          </cell>
          <cell r="F598">
            <v>2.551338E-4</v>
          </cell>
        </row>
        <row r="599">
          <cell r="B599" t="str">
            <v>BNSF</v>
          </cell>
          <cell r="E599">
            <v>5</v>
          </cell>
          <cell r="F599">
            <v>1.687135E-3</v>
          </cell>
        </row>
        <row r="600">
          <cell r="B600" t="str">
            <v>BNSF</v>
          </cell>
          <cell r="E600">
            <v>5</v>
          </cell>
          <cell r="F600">
            <v>6.4528450000000005E-4</v>
          </cell>
        </row>
        <row r="601">
          <cell r="B601" t="str">
            <v>BNSF</v>
          </cell>
          <cell r="E601">
            <v>5</v>
          </cell>
          <cell r="F601">
            <v>1.7776210000000001E-3</v>
          </cell>
        </row>
        <row r="602">
          <cell r="B602" t="str">
            <v>BNSF</v>
          </cell>
          <cell r="E602">
            <v>5</v>
          </cell>
          <cell r="F602">
            <v>3.5042900000000002E-3</v>
          </cell>
        </row>
        <row r="603">
          <cell r="B603" t="str">
            <v>BNSF</v>
          </cell>
          <cell r="E603">
            <v>5</v>
          </cell>
          <cell r="F603">
            <v>3.278868E-4</v>
          </cell>
        </row>
        <row r="604">
          <cell r="B604" t="str">
            <v>BNSF</v>
          </cell>
          <cell r="E604">
            <v>5</v>
          </cell>
          <cell r="F604">
            <v>2.0916509999999999E-3</v>
          </cell>
        </row>
        <row r="605">
          <cell r="B605" t="str">
            <v>BNSF</v>
          </cell>
          <cell r="E605">
            <v>5</v>
          </cell>
          <cell r="F605">
            <v>4.6544150000000003E-3</v>
          </cell>
        </row>
        <row r="606">
          <cell r="B606" t="str">
            <v>BNSF</v>
          </cell>
          <cell r="E606">
            <v>5</v>
          </cell>
          <cell r="F606">
            <v>4.3120420000000003E-3</v>
          </cell>
        </row>
        <row r="607">
          <cell r="B607" t="str">
            <v>BNSF</v>
          </cell>
          <cell r="E607">
            <v>5</v>
          </cell>
          <cell r="F607">
            <v>3.0951849999999999E-3</v>
          </cell>
        </row>
        <row r="608">
          <cell r="B608" t="str">
            <v>BNSF</v>
          </cell>
          <cell r="E608">
            <v>5</v>
          </cell>
          <cell r="F608">
            <v>4.6543299999999999E-3</v>
          </cell>
        </row>
        <row r="609">
          <cell r="B609" t="str">
            <v>BNSF</v>
          </cell>
          <cell r="E609">
            <v>5</v>
          </cell>
          <cell r="F609">
            <v>4.098633E-3</v>
          </cell>
        </row>
        <row r="610">
          <cell r="B610" t="str">
            <v>BNSF</v>
          </cell>
          <cell r="E610">
            <v>5</v>
          </cell>
          <cell r="F610">
            <v>2.8604239999999999E-3</v>
          </cell>
        </row>
        <row r="611">
          <cell r="B611" t="str">
            <v>BNSF</v>
          </cell>
          <cell r="E611">
            <v>5</v>
          </cell>
          <cell r="F611">
            <v>3.2747330000000002E-3</v>
          </cell>
        </row>
        <row r="612">
          <cell r="B612" t="str">
            <v>BNSF</v>
          </cell>
          <cell r="E612">
            <v>5</v>
          </cell>
          <cell r="F612">
            <v>1.8711800000000001E-3</v>
          </cell>
        </row>
        <row r="613">
          <cell r="B613" t="str">
            <v>BNSF</v>
          </cell>
          <cell r="E613">
            <v>5</v>
          </cell>
          <cell r="F613">
            <v>2.272151E-3</v>
          </cell>
        </row>
        <row r="614">
          <cell r="B614" t="str">
            <v>BNSF</v>
          </cell>
          <cell r="E614">
            <v>5</v>
          </cell>
          <cell r="F614">
            <v>1.2695689999999999E-3</v>
          </cell>
        </row>
        <row r="615">
          <cell r="B615" t="str">
            <v>BNSF</v>
          </cell>
          <cell r="E615">
            <v>5</v>
          </cell>
          <cell r="F615">
            <v>3.074317E-3</v>
          </cell>
        </row>
        <row r="616">
          <cell r="B616" t="str">
            <v>BNSF</v>
          </cell>
          <cell r="E616">
            <v>5</v>
          </cell>
          <cell r="F616">
            <v>1.6707639999999999E-3</v>
          </cell>
        </row>
        <row r="617">
          <cell r="B617" t="str">
            <v>BNSF</v>
          </cell>
          <cell r="E617">
            <v>5</v>
          </cell>
          <cell r="F617">
            <v>7.5925069999999996E-4</v>
          </cell>
        </row>
        <row r="618">
          <cell r="B618" t="str">
            <v>BNSF</v>
          </cell>
          <cell r="E618">
            <v>5</v>
          </cell>
          <cell r="F618">
            <v>5.7215120000000001E-2</v>
          </cell>
        </row>
        <row r="619">
          <cell r="B619" t="str">
            <v>BNSF</v>
          </cell>
          <cell r="E619">
            <v>5</v>
          </cell>
          <cell r="F619">
            <v>2.328152E-2</v>
          </cell>
        </row>
        <row r="620">
          <cell r="B620" t="str">
            <v>BNSF</v>
          </cell>
          <cell r="E620">
            <v>5</v>
          </cell>
          <cell r="F620">
            <v>6.2688640000000004E-2</v>
          </cell>
        </row>
        <row r="621">
          <cell r="B621" t="str">
            <v>BNSF</v>
          </cell>
          <cell r="E621">
            <v>5</v>
          </cell>
          <cell r="F621">
            <v>9.7316539999999993E-3</v>
          </cell>
        </row>
        <row r="622">
          <cell r="B622" t="str">
            <v>BNSF</v>
          </cell>
          <cell r="E622">
            <v>5</v>
          </cell>
          <cell r="F622">
            <v>0.12489889999999999</v>
          </cell>
        </row>
        <row r="623">
          <cell r="B623" t="str">
            <v>BNSF</v>
          </cell>
          <cell r="E623">
            <v>5</v>
          </cell>
          <cell r="F623">
            <v>3.1130680000000001E-3</v>
          </cell>
        </row>
        <row r="624">
          <cell r="B624" t="str">
            <v>BNSF</v>
          </cell>
          <cell r="E624">
            <v>5</v>
          </cell>
          <cell r="F624">
            <v>2.1795749999999999E-2</v>
          </cell>
        </row>
        <row r="625">
          <cell r="B625" t="str">
            <v>BNSF</v>
          </cell>
          <cell r="E625">
            <v>5</v>
          </cell>
          <cell r="F625">
            <v>1.245463E-2</v>
          </cell>
        </row>
        <row r="626">
          <cell r="B626" t="str">
            <v>BNSF</v>
          </cell>
          <cell r="E626">
            <v>5</v>
          </cell>
          <cell r="F626">
            <v>3.1136750000000001E-2</v>
          </cell>
        </row>
        <row r="627">
          <cell r="B627" t="str">
            <v>BNSF</v>
          </cell>
          <cell r="E627">
            <v>5</v>
          </cell>
          <cell r="F627">
            <v>3.9680389999999996E-3</v>
          </cell>
        </row>
        <row r="628">
          <cell r="B628" t="str">
            <v>BNSF</v>
          </cell>
          <cell r="E628">
            <v>5</v>
          </cell>
          <cell r="F628">
            <v>5.7887189999999999E-4</v>
          </cell>
        </row>
        <row r="629">
          <cell r="B629" t="str">
            <v>BNSF</v>
          </cell>
          <cell r="E629">
            <v>5</v>
          </cell>
          <cell r="F629">
            <v>2.071818E-3</v>
          </cell>
        </row>
        <row r="630">
          <cell r="B630" t="str">
            <v>BNSF</v>
          </cell>
          <cell r="E630">
            <v>5</v>
          </cell>
          <cell r="F630">
            <v>4.7009620000000002E-2</v>
          </cell>
        </row>
        <row r="631">
          <cell r="B631" t="str">
            <v>BNSF</v>
          </cell>
          <cell r="E631">
            <v>5</v>
          </cell>
          <cell r="F631">
            <v>9.911131000000001E-4</v>
          </cell>
        </row>
        <row r="632">
          <cell r="B632" t="str">
            <v>BNSF</v>
          </cell>
          <cell r="E632">
            <v>5</v>
          </cell>
          <cell r="F632">
            <v>1.1890379999999999E-3</v>
          </cell>
        </row>
        <row r="633">
          <cell r="B633" t="str">
            <v>BNSF</v>
          </cell>
          <cell r="E633">
            <v>5</v>
          </cell>
          <cell r="F633">
            <v>3.5111209999999999E-3</v>
          </cell>
        </row>
        <row r="634">
          <cell r="B634" t="str">
            <v>BNSF</v>
          </cell>
          <cell r="E634">
            <v>5</v>
          </cell>
          <cell r="F634">
            <v>3.7089990000000001E-3</v>
          </cell>
        </row>
        <row r="635">
          <cell r="B635" t="str">
            <v>BNSF</v>
          </cell>
          <cell r="E635">
            <v>5</v>
          </cell>
          <cell r="F635">
            <v>4.0506220000000003E-3</v>
          </cell>
        </row>
        <row r="636">
          <cell r="B636" t="str">
            <v>BNSF</v>
          </cell>
          <cell r="E636">
            <v>5</v>
          </cell>
          <cell r="F636">
            <v>3.9067010000000003E-3</v>
          </cell>
        </row>
        <row r="637">
          <cell r="B637" t="str">
            <v>BNSF</v>
          </cell>
          <cell r="E637">
            <v>5</v>
          </cell>
          <cell r="F637">
            <v>1.9803720000000002E-3</v>
          </cell>
        </row>
        <row r="638">
          <cell r="B638" t="str">
            <v>BNSF</v>
          </cell>
          <cell r="E638">
            <v>5</v>
          </cell>
          <cell r="F638">
            <v>4.0506220000000003E-3</v>
          </cell>
        </row>
        <row r="639">
          <cell r="B639" t="str">
            <v>BNSF</v>
          </cell>
          <cell r="E639">
            <v>5</v>
          </cell>
          <cell r="F639">
            <v>3.9966180000000004E-3</v>
          </cell>
        </row>
        <row r="640">
          <cell r="B640" t="str">
            <v>BNSF</v>
          </cell>
          <cell r="E640">
            <v>5</v>
          </cell>
          <cell r="F640">
            <v>6.3122990000000004E-3</v>
          </cell>
        </row>
        <row r="641">
          <cell r="B641" t="str">
            <v>BNSF</v>
          </cell>
          <cell r="E641">
            <v>5</v>
          </cell>
          <cell r="F641">
            <v>3.7046879999999998E-3</v>
          </cell>
        </row>
        <row r="642">
          <cell r="B642" t="str">
            <v>BNSF</v>
          </cell>
          <cell r="E642">
            <v>5</v>
          </cell>
          <cell r="F642">
            <v>3.9915430000000002E-3</v>
          </cell>
        </row>
        <row r="643">
          <cell r="B643" t="str">
            <v>BNSF</v>
          </cell>
          <cell r="E643">
            <v>5</v>
          </cell>
          <cell r="F643">
            <v>3.991456E-3</v>
          </cell>
        </row>
        <row r="644">
          <cell r="B644" t="str">
            <v>BNSF</v>
          </cell>
          <cell r="E644">
            <v>5</v>
          </cell>
          <cell r="F644">
            <v>3.991456E-3</v>
          </cell>
        </row>
        <row r="645">
          <cell r="B645" t="str">
            <v>BNSF</v>
          </cell>
          <cell r="E645">
            <v>5</v>
          </cell>
          <cell r="F645">
            <v>3.9914169999999997E-3</v>
          </cell>
        </row>
        <row r="646">
          <cell r="B646" t="str">
            <v>BNSF</v>
          </cell>
          <cell r="E646">
            <v>5</v>
          </cell>
          <cell r="F646">
            <v>9.5023329999999997E-4</v>
          </cell>
        </row>
        <row r="647">
          <cell r="B647" t="str">
            <v>BNSF</v>
          </cell>
          <cell r="E647">
            <v>5</v>
          </cell>
          <cell r="F647">
            <v>2.196152E-4</v>
          </cell>
        </row>
        <row r="648">
          <cell r="B648" t="str">
            <v>BNSF</v>
          </cell>
          <cell r="E648">
            <v>5</v>
          </cell>
          <cell r="F648">
            <v>1.808587E-3</v>
          </cell>
        </row>
        <row r="649">
          <cell r="B649" t="str">
            <v>BNSF</v>
          </cell>
          <cell r="E649">
            <v>5</v>
          </cell>
          <cell r="F649">
            <v>3.9812850000000002E-3</v>
          </cell>
        </row>
        <row r="650">
          <cell r="B650" t="str">
            <v>BNSF</v>
          </cell>
          <cell r="E650">
            <v>5</v>
          </cell>
          <cell r="F650">
            <v>3.7978759999999999E-3</v>
          </cell>
        </row>
        <row r="651">
          <cell r="B651" t="str">
            <v>BNSF</v>
          </cell>
          <cell r="E651">
            <v>5</v>
          </cell>
          <cell r="F651">
            <v>4.1207809999999997E-2</v>
          </cell>
        </row>
        <row r="652">
          <cell r="B652" t="str">
            <v>BNSF</v>
          </cell>
          <cell r="E652">
            <v>5</v>
          </cell>
          <cell r="F652">
            <v>6.5672400000000002E-3</v>
          </cell>
        </row>
        <row r="653">
          <cell r="B653" t="str">
            <v>BNSF</v>
          </cell>
          <cell r="E653">
            <v>5</v>
          </cell>
          <cell r="F653">
            <v>3.6907789999999999E-3</v>
          </cell>
        </row>
        <row r="654">
          <cell r="B654" t="str">
            <v>BNSF</v>
          </cell>
          <cell r="E654">
            <v>5</v>
          </cell>
          <cell r="F654">
            <v>5.8937900000000003E-3</v>
          </cell>
        </row>
        <row r="655">
          <cell r="B655" t="str">
            <v>BNSF</v>
          </cell>
          <cell r="E655">
            <v>5</v>
          </cell>
          <cell r="F655">
            <v>4.1958660000000004E-3</v>
          </cell>
        </row>
        <row r="656">
          <cell r="B656" t="str">
            <v>BNSF</v>
          </cell>
          <cell r="E656">
            <v>5</v>
          </cell>
          <cell r="F656">
            <v>5.893878E-3</v>
          </cell>
        </row>
        <row r="657">
          <cell r="B657" t="str">
            <v>BNSF</v>
          </cell>
          <cell r="E657">
            <v>5</v>
          </cell>
          <cell r="F657">
            <v>4.195954E-3</v>
          </cell>
        </row>
        <row r="658">
          <cell r="B658" t="str">
            <v>BNSF</v>
          </cell>
          <cell r="E658">
            <v>5</v>
          </cell>
          <cell r="F658">
            <v>3.9989099999999996E-3</v>
          </cell>
        </row>
        <row r="659">
          <cell r="B659" t="str">
            <v>BNSF</v>
          </cell>
          <cell r="E659">
            <v>5</v>
          </cell>
          <cell r="F659">
            <v>5.6969220000000001E-3</v>
          </cell>
        </row>
        <row r="660">
          <cell r="B660" t="str">
            <v>BNSF</v>
          </cell>
          <cell r="E660">
            <v>5</v>
          </cell>
          <cell r="F660">
            <v>3.199108E-3</v>
          </cell>
        </row>
        <row r="661">
          <cell r="B661" t="str">
            <v>BNSF</v>
          </cell>
          <cell r="E661">
            <v>5</v>
          </cell>
          <cell r="F661">
            <v>4.195954E-3</v>
          </cell>
        </row>
        <row r="662">
          <cell r="B662" t="str">
            <v>BNSF</v>
          </cell>
          <cell r="E662">
            <v>5</v>
          </cell>
          <cell r="F662">
            <v>2.3991360000000001E-3</v>
          </cell>
        </row>
        <row r="663">
          <cell r="B663" t="str">
            <v>BNSF</v>
          </cell>
          <cell r="E663">
            <v>5</v>
          </cell>
          <cell r="F663">
            <v>4.0972350000000003E-3</v>
          </cell>
        </row>
        <row r="664">
          <cell r="B664" t="str">
            <v>BNSF</v>
          </cell>
          <cell r="E664">
            <v>5</v>
          </cell>
          <cell r="F664">
            <v>3.2974760000000001E-3</v>
          </cell>
        </row>
        <row r="665">
          <cell r="B665" t="str">
            <v>BNSF</v>
          </cell>
          <cell r="E665">
            <v>5</v>
          </cell>
          <cell r="F665">
            <v>7.8131920000000001E-4</v>
          </cell>
        </row>
        <row r="666">
          <cell r="B666" t="str">
            <v>BNSF</v>
          </cell>
          <cell r="E666">
            <v>5</v>
          </cell>
          <cell r="F666">
            <v>2.4548930000000001E-3</v>
          </cell>
        </row>
        <row r="667">
          <cell r="B667" t="str">
            <v>BNSF</v>
          </cell>
          <cell r="E667">
            <v>5</v>
          </cell>
          <cell r="F667">
            <v>1.5969039999999999E-3</v>
          </cell>
        </row>
        <row r="668">
          <cell r="B668" t="str">
            <v>BNSF</v>
          </cell>
          <cell r="E668">
            <v>5</v>
          </cell>
          <cell r="F668">
            <v>7.3895709999999997E-4</v>
          </cell>
        </row>
        <row r="669">
          <cell r="B669" t="str">
            <v>BNSF</v>
          </cell>
          <cell r="E669">
            <v>5</v>
          </cell>
          <cell r="F669">
            <v>6.7124699999999995E-2</v>
          </cell>
        </row>
        <row r="670">
          <cell r="B670" t="str">
            <v>BNSF</v>
          </cell>
          <cell r="E670">
            <v>5</v>
          </cell>
          <cell r="F670">
            <v>6.9597740000000002E-3</v>
          </cell>
        </row>
        <row r="671">
          <cell r="B671" t="str">
            <v>BNSF</v>
          </cell>
          <cell r="E671">
            <v>5</v>
          </cell>
          <cell r="F671">
            <v>0.14905860000000001</v>
          </cell>
        </row>
        <row r="672">
          <cell r="B672" t="str">
            <v>BNSF</v>
          </cell>
          <cell r="E672">
            <v>5</v>
          </cell>
          <cell r="F672">
            <v>4.3027530000000003E-3</v>
          </cell>
        </row>
        <row r="673">
          <cell r="B673" t="str">
            <v>BNSF</v>
          </cell>
          <cell r="E673">
            <v>5</v>
          </cell>
          <cell r="F673">
            <v>2.6198419999999998E-3</v>
          </cell>
        </row>
        <row r="674">
          <cell r="B674" t="str">
            <v>BNSF</v>
          </cell>
          <cell r="E674">
            <v>5</v>
          </cell>
          <cell r="F674">
            <v>9.0731500000000003E-3</v>
          </cell>
        </row>
        <row r="675">
          <cell r="B675" t="str">
            <v>BNSF</v>
          </cell>
          <cell r="E675">
            <v>5</v>
          </cell>
          <cell r="F675">
            <v>4.2079379999999996E-3</v>
          </cell>
        </row>
        <row r="676">
          <cell r="B676" t="str">
            <v>BNSF</v>
          </cell>
          <cell r="E676">
            <v>5</v>
          </cell>
          <cell r="F676">
            <v>3.2833699999999999E-3</v>
          </cell>
        </row>
        <row r="677">
          <cell r="B677" t="str">
            <v>BNSF</v>
          </cell>
          <cell r="E677">
            <v>5</v>
          </cell>
          <cell r="F677">
            <v>3.2833110000000001E-3</v>
          </cell>
        </row>
        <row r="678">
          <cell r="B678" t="str">
            <v>BNSF</v>
          </cell>
          <cell r="E678">
            <v>5</v>
          </cell>
          <cell r="F678">
            <v>3.2833699999999999E-3</v>
          </cell>
        </row>
        <row r="679">
          <cell r="B679" t="str">
            <v>Union Pacific</v>
          </cell>
          <cell r="E679">
            <v>5</v>
          </cell>
          <cell r="F679">
            <v>6.2071670000000002E-2</v>
          </cell>
        </row>
        <row r="680">
          <cell r="B680" t="str">
            <v>Union Pacific</v>
          </cell>
          <cell r="E680">
            <v>5</v>
          </cell>
          <cell r="F680">
            <v>0.30529460000000003</v>
          </cell>
        </row>
        <row r="681">
          <cell r="B681" t="str">
            <v>Union Pacific</v>
          </cell>
          <cell r="E681">
            <v>5</v>
          </cell>
          <cell r="F681">
            <v>3.6776970000000002E-4</v>
          </cell>
        </row>
        <row r="682">
          <cell r="B682" t="str">
            <v>Union Pacific</v>
          </cell>
          <cell r="E682">
            <v>5</v>
          </cell>
          <cell r="F682">
            <v>0.236375</v>
          </cell>
        </row>
        <row r="683">
          <cell r="B683" t="str">
            <v>Union Pacific</v>
          </cell>
          <cell r="E683">
            <v>5</v>
          </cell>
          <cell r="F683">
            <v>4.360381E-3</v>
          </cell>
        </row>
        <row r="684">
          <cell r="B684" t="str">
            <v>Union Pacific</v>
          </cell>
          <cell r="E684">
            <v>5</v>
          </cell>
          <cell r="F684">
            <v>3.1969070000000001E-3</v>
          </cell>
        </row>
        <row r="685">
          <cell r="B685" t="str">
            <v>Union Pacific</v>
          </cell>
          <cell r="E685">
            <v>5</v>
          </cell>
          <cell r="F685">
            <v>5.6490539999999997E-3</v>
          </cell>
        </row>
        <row r="686">
          <cell r="B686" t="str">
            <v>Union Pacific</v>
          </cell>
          <cell r="E686">
            <v>5</v>
          </cell>
          <cell r="F686">
            <v>4.3500370000000002E-3</v>
          </cell>
        </row>
        <row r="687">
          <cell r="B687" t="str">
            <v>Union Pacific</v>
          </cell>
          <cell r="E687">
            <v>5</v>
          </cell>
          <cell r="F687">
            <v>3.6623649999999999E-3</v>
          </cell>
        </row>
        <row r="688">
          <cell r="B688" t="str">
            <v>Union Pacific</v>
          </cell>
          <cell r="E688">
            <v>5</v>
          </cell>
          <cell r="F688">
            <v>2.4035570000000002E-3</v>
          </cell>
        </row>
        <row r="689">
          <cell r="B689" t="str">
            <v>Union Pacific</v>
          </cell>
          <cell r="E689">
            <v>5</v>
          </cell>
          <cell r="F689">
            <v>5.5789630000000002E-3</v>
          </cell>
        </row>
        <row r="690">
          <cell r="B690" t="str">
            <v>Union Pacific</v>
          </cell>
          <cell r="E690">
            <v>5</v>
          </cell>
          <cell r="F690">
            <v>4.4035039999999999E-3</v>
          </cell>
        </row>
        <row r="691">
          <cell r="B691" t="str">
            <v>Union Pacific</v>
          </cell>
          <cell r="E691">
            <v>5</v>
          </cell>
          <cell r="F691">
            <v>1.113566E-2</v>
          </cell>
        </row>
        <row r="692">
          <cell r="B692" t="str">
            <v>Union Pacific</v>
          </cell>
          <cell r="E692">
            <v>5</v>
          </cell>
          <cell r="F692">
            <v>4.2951980000000001E-3</v>
          </cell>
        </row>
        <row r="693">
          <cell r="B693" t="str">
            <v>Union Pacific</v>
          </cell>
          <cell r="E693">
            <v>5</v>
          </cell>
          <cell r="F693">
            <v>2.760902E-3</v>
          </cell>
        </row>
        <row r="694">
          <cell r="B694" t="str">
            <v>Union Pacific</v>
          </cell>
          <cell r="E694">
            <v>5</v>
          </cell>
          <cell r="F694">
            <v>2.829645E-3</v>
          </cell>
        </row>
        <row r="695">
          <cell r="B695" t="str">
            <v>Union Pacific</v>
          </cell>
          <cell r="E695">
            <v>5</v>
          </cell>
          <cell r="F695">
            <v>2.0212770000000001E-3</v>
          </cell>
        </row>
        <row r="696">
          <cell r="B696" t="str">
            <v>Union Pacific</v>
          </cell>
          <cell r="E696">
            <v>5</v>
          </cell>
          <cell r="F696">
            <v>1.3122139999999999E-3</v>
          </cell>
        </row>
        <row r="697">
          <cell r="B697" t="str">
            <v>Union Pacific</v>
          </cell>
          <cell r="E697">
            <v>5</v>
          </cell>
          <cell r="F697">
            <v>4.7884829999999996E-3</v>
          </cell>
        </row>
        <row r="698">
          <cell r="B698" t="str">
            <v>Union Pacific</v>
          </cell>
          <cell r="E698">
            <v>5</v>
          </cell>
          <cell r="F698">
            <v>4.6827960000000004E-3</v>
          </cell>
        </row>
        <row r="699">
          <cell r="B699" t="str">
            <v>Union Pacific</v>
          </cell>
          <cell r="E699">
            <v>5</v>
          </cell>
          <cell r="F699">
            <v>3.9736820000000001E-3</v>
          </cell>
        </row>
        <row r="700">
          <cell r="B700" t="str">
            <v>Union Pacific</v>
          </cell>
          <cell r="E700">
            <v>5</v>
          </cell>
          <cell r="F700">
            <v>2.9415769999999999E-3</v>
          </cell>
        </row>
        <row r="701">
          <cell r="B701" t="str">
            <v>Union Pacific</v>
          </cell>
          <cell r="E701">
            <v>5</v>
          </cell>
          <cell r="F701">
            <v>0.16377</v>
          </cell>
        </row>
        <row r="702">
          <cell r="B702" t="str">
            <v>Union Pacific</v>
          </cell>
          <cell r="E702">
            <v>5</v>
          </cell>
          <cell r="F702">
            <v>7.9242529999999992E-3</v>
          </cell>
        </row>
        <row r="703">
          <cell r="B703" t="str">
            <v>Union Pacific</v>
          </cell>
          <cell r="E703">
            <v>5</v>
          </cell>
          <cell r="F703">
            <v>3.962129E-3</v>
          </cell>
        </row>
        <row r="704">
          <cell r="B704" t="str">
            <v>Union Pacific</v>
          </cell>
          <cell r="E704">
            <v>5</v>
          </cell>
          <cell r="F704">
            <v>2.146518E-3</v>
          </cell>
        </row>
        <row r="705">
          <cell r="B705" t="str">
            <v>Union Pacific</v>
          </cell>
          <cell r="E705">
            <v>5</v>
          </cell>
          <cell r="F705">
            <v>4.0715739999999997E-3</v>
          </cell>
        </row>
        <row r="706">
          <cell r="B706" t="str">
            <v>Union Pacific</v>
          </cell>
          <cell r="E706">
            <v>5</v>
          </cell>
          <cell r="F706">
            <v>3.9468719999999997E-3</v>
          </cell>
        </row>
        <row r="707">
          <cell r="B707" t="str">
            <v>Union Pacific</v>
          </cell>
          <cell r="E707">
            <v>5</v>
          </cell>
          <cell r="F707">
            <v>1.8972819999999999E-3</v>
          </cell>
        </row>
        <row r="708">
          <cell r="B708" t="str">
            <v>Union Pacific</v>
          </cell>
          <cell r="E708">
            <v>5</v>
          </cell>
          <cell r="F708">
            <v>1.869325E-3</v>
          </cell>
        </row>
        <row r="709">
          <cell r="B709" t="str">
            <v>Union Pacific</v>
          </cell>
          <cell r="E709">
            <v>5</v>
          </cell>
          <cell r="F709">
            <v>3.9621910000000003E-3</v>
          </cell>
        </row>
        <row r="710">
          <cell r="B710" t="str">
            <v>Union Pacific</v>
          </cell>
          <cell r="E710">
            <v>5</v>
          </cell>
          <cell r="F710">
            <v>8.1398200000000007E-3</v>
          </cell>
        </row>
        <row r="711">
          <cell r="B711" t="str">
            <v>Union Pacific</v>
          </cell>
          <cell r="E711">
            <v>5</v>
          </cell>
          <cell r="F711">
            <v>6.9941169999999997E-2</v>
          </cell>
        </row>
        <row r="712">
          <cell r="B712" t="str">
            <v>Union Pacific</v>
          </cell>
          <cell r="E712">
            <v>5</v>
          </cell>
          <cell r="F712">
            <v>9.68797E-5</v>
          </cell>
        </row>
        <row r="713">
          <cell r="B713" t="str">
            <v>Union Pacific</v>
          </cell>
          <cell r="E713">
            <v>5</v>
          </cell>
          <cell r="F713">
            <v>0.26530160000000003</v>
          </cell>
        </row>
        <row r="714">
          <cell r="B714" t="str">
            <v>Union Pacific</v>
          </cell>
          <cell r="E714">
            <v>5</v>
          </cell>
          <cell r="F714">
            <v>8.729789E-3</v>
          </cell>
        </row>
        <row r="715">
          <cell r="B715" t="str">
            <v>Union Pacific</v>
          </cell>
          <cell r="E715">
            <v>5</v>
          </cell>
          <cell r="F715">
            <v>3.7638160000000001E-3</v>
          </cell>
        </row>
        <row r="716">
          <cell r="B716" t="str">
            <v>Union Pacific</v>
          </cell>
          <cell r="E716">
            <v>5</v>
          </cell>
          <cell r="F716">
            <v>1.7187069999999999E-2</v>
          </cell>
        </row>
        <row r="717">
          <cell r="B717" t="str">
            <v>Union Pacific</v>
          </cell>
          <cell r="E717">
            <v>5</v>
          </cell>
          <cell r="F717">
            <v>5.5493299999999999E-3</v>
          </cell>
        </row>
        <row r="718">
          <cell r="B718" t="str">
            <v>Union Pacific</v>
          </cell>
          <cell r="E718">
            <v>5</v>
          </cell>
          <cell r="F718">
            <v>2.056653E-2</v>
          </cell>
        </row>
        <row r="719">
          <cell r="B719" t="str">
            <v>Union Pacific</v>
          </cell>
          <cell r="E719">
            <v>5</v>
          </cell>
          <cell r="F719">
            <v>2.890177E-2</v>
          </cell>
        </row>
        <row r="720">
          <cell r="B720" t="str">
            <v>Union Pacific</v>
          </cell>
          <cell r="E720">
            <v>5</v>
          </cell>
          <cell r="F720">
            <v>5.1104520000000001E-2</v>
          </cell>
        </row>
        <row r="721">
          <cell r="B721" t="str">
            <v>Union Pacific</v>
          </cell>
          <cell r="E721">
            <v>5</v>
          </cell>
          <cell r="F721">
            <v>0.14693719999999999</v>
          </cell>
        </row>
        <row r="722">
          <cell r="B722" t="str">
            <v>Union Pacific</v>
          </cell>
          <cell r="E722">
            <v>5</v>
          </cell>
          <cell r="F722">
            <v>9.4746590000000006E-2</v>
          </cell>
        </row>
        <row r="723">
          <cell r="B723" t="str">
            <v>Union Pacific</v>
          </cell>
          <cell r="E723">
            <v>5</v>
          </cell>
          <cell r="F723">
            <v>2.2460459999999998E-3</v>
          </cell>
        </row>
        <row r="724">
          <cell r="B724" t="str">
            <v>Union Pacific</v>
          </cell>
          <cell r="E724">
            <v>5</v>
          </cell>
          <cell r="F724">
            <v>8.3176400000000005E-5</v>
          </cell>
        </row>
        <row r="725">
          <cell r="B725" t="str">
            <v>Union Pacific</v>
          </cell>
          <cell r="E725">
            <v>5</v>
          </cell>
          <cell r="F725">
            <v>3.4513740000000001E-3</v>
          </cell>
        </row>
        <row r="726">
          <cell r="B726" t="str">
            <v>Union Pacific</v>
          </cell>
          <cell r="E726">
            <v>5</v>
          </cell>
          <cell r="F726">
            <v>5.956081E-4</v>
          </cell>
        </row>
        <row r="727">
          <cell r="B727" t="str">
            <v>Union Pacific</v>
          </cell>
          <cell r="E727">
            <v>5</v>
          </cell>
          <cell r="F727">
            <v>2.0141109999999999E-3</v>
          </cell>
        </row>
        <row r="728">
          <cell r="B728" t="str">
            <v>Union Pacific</v>
          </cell>
          <cell r="E728">
            <v>5</v>
          </cell>
          <cell r="F728">
            <v>5.4243429999999998E-5</v>
          </cell>
        </row>
        <row r="729">
          <cell r="B729" t="str">
            <v>Union Pacific</v>
          </cell>
          <cell r="E729">
            <v>5</v>
          </cell>
          <cell r="F729">
            <v>1.4861659999999999E-5</v>
          </cell>
        </row>
        <row r="730">
          <cell r="B730" t="str">
            <v>Union Pacific</v>
          </cell>
          <cell r="E730">
            <v>5</v>
          </cell>
          <cell r="F730">
            <v>2.083129E-3</v>
          </cell>
        </row>
        <row r="731">
          <cell r="B731" t="str">
            <v>Union Pacific</v>
          </cell>
          <cell r="E731">
            <v>5</v>
          </cell>
          <cell r="F731">
            <v>8.3879190000000001E-5</v>
          </cell>
        </row>
        <row r="732">
          <cell r="B732" t="str">
            <v>Union Pacific</v>
          </cell>
          <cell r="E732">
            <v>5</v>
          </cell>
          <cell r="F732">
            <v>2.0637810000000002E-3</v>
          </cell>
        </row>
        <row r="733">
          <cell r="B733" t="str">
            <v>Union Pacific</v>
          </cell>
          <cell r="E733">
            <v>5</v>
          </cell>
          <cell r="F733">
            <v>2.3923830000000001E-3</v>
          </cell>
        </row>
        <row r="734">
          <cell r="B734" t="str">
            <v>Union Pacific</v>
          </cell>
          <cell r="E734">
            <v>5</v>
          </cell>
          <cell r="F734">
            <v>0.19335040000000001</v>
          </cell>
        </row>
        <row r="735">
          <cell r="B735" t="str">
            <v>Union Pacific</v>
          </cell>
          <cell r="E735">
            <v>5</v>
          </cell>
          <cell r="F735">
            <v>3.4563380000000002E-3</v>
          </cell>
        </row>
        <row r="736">
          <cell r="B736" t="str">
            <v>Union Pacific</v>
          </cell>
          <cell r="E736">
            <v>5</v>
          </cell>
          <cell r="F736">
            <v>2.7621400000000002E-3</v>
          </cell>
        </row>
        <row r="737">
          <cell r="B737" t="str">
            <v>Union Pacific</v>
          </cell>
          <cell r="E737">
            <v>5</v>
          </cell>
          <cell r="F737">
            <v>2.0679940000000001E-3</v>
          </cell>
        </row>
        <row r="738">
          <cell r="B738" t="str">
            <v>Union Pacific</v>
          </cell>
          <cell r="E738">
            <v>5</v>
          </cell>
          <cell r="F738">
            <v>1.373745E-3</v>
          </cell>
        </row>
        <row r="739">
          <cell r="B739" t="str">
            <v>Union Pacific</v>
          </cell>
          <cell r="E739">
            <v>5</v>
          </cell>
          <cell r="F739">
            <v>6.7954720000000003E-4</v>
          </cell>
        </row>
        <row r="740">
          <cell r="B740" t="str">
            <v>Union Pacific</v>
          </cell>
          <cell r="E740">
            <v>5</v>
          </cell>
          <cell r="F740">
            <v>0.16420180000000001</v>
          </cell>
        </row>
        <row r="741">
          <cell r="B741" t="str">
            <v>Union Pacific</v>
          </cell>
          <cell r="E741">
            <v>5</v>
          </cell>
          <cell r="F741">
            <v>2.151244E-4</v>
          </cell>
        </row>
        <row r="742">
          <cell r="B742" t="str">
            <v>Union Pacific</v>
          </cell>
          <cell r="E742">
            <v>5</v>
          </cell>
          <cell r="F742">
            <v>1.324183E-3</v>
          </cell>
        </row>
        <row r="743">
          <cell r="B743" t="str">
            <v>Union Pacific</v>
          </cell>
          <cell r="E743">
            <v>5</v>
          </cell>
          <cell r="F743">
            <v>5.3807920000000002E-2</v>
          </cell>
        </row>
        <row r="744">
          <cell r="B744" t="str">
            <v>Union Pacific</v>
          </cell>
          <cell r="E744">
            <v>5</v>
          </cell>
          <cell r="F744">
            <v>8.5776349999999995E-4</v>
          </cell>
        </row>
        <row r="745">
          <cell r="B745" t="str">
            <v>Union Pacific</v>
          </cell>
          <cell r="E745">
            <v>5</v>
          </cell>
          <cell r="F745">
            <v>3.9779500000000001E-3</v>
          </cell>
        </row>
        <row r="746">
          <cell r="B746" t="str">
            <v>Union Pacific</v>
          </cell>
          <cell r="E746">
            <v>5</v>
          </cell>
          <cell r="F746">
            <v>4.0720749999999997E-3</v>
          </cell>
        </row>
        <row r="747">
          <cell r="B747" t="str">
            <v>Union Pacific</v>
          </cell>
          <cell r="E747">
            <v>5</v>
          </cell>
          <cell r="F747">
            <v>5.4332539999999999E-2</v>
          </cell>
        </row>
        <row r="748">
          <cell r="B748" t="str">
            <v>Union Pacific</v>
          </cell>
          <cell r="E748">
            <v>5</v>
          </cell>
          <cell r="F748">
            <v>0.20879149999999999</v>
          </cell>
        </row>
        <row r="749">
          <cell r="B749" t="str">
            <v>Union Pacific</v>
          </cell>
          <cell r="E749">
            <v>5</v>
          </cell>
          <cell r="F749">
            <v>6.8849699999999998E-3</v>
          </cell>
        </row>
        <row r="750">
          <cell r="B750" t="str">
            <v>Union Pacific</v>
          </cell>
          <cell r="E750">
            <v>5</v>
          </cell>
          <cell r="F750">
            <v>3.9759870000000003E-3</v>
          </cell>
        </row>
        <row r="751">
          <cell r="B751" t="str">
            <v>Union Pacific</v>
          </cell>
          <cell r="E751">
            <v>5</v>
          </cell>
          <cell r="F751">
            <v>2.2484879999999999E-4</v>
          </cell>
        </row>
        <row r="752">
          <cell r="B752" t="str">
            <v>Union Pacific</v>
          </cell>
          <cell r="E752">
            <v>5</v>
          </cell>
          <cell r="F752">
            <v>6.6463329999999999E-3</v>
          </cell>
        </row>
        <row r="753">
          <cell r="B753" t="str">
            <v>Union Pacific</v>
          </cell>
          <cell r="E753">
            <v>5</v>
          </cell>
          <cell r="F753">
            <v>7.9358569999999993E-3</v>
          </cell>
        </row>
        <row r="754">
          <cell r="B754" t="str">
            <v>Union Pacific</v>
          </cell>
          <cell r="E754">
            <v>5</v>
          </cell>
          <cell r="F754">
            <v>6.3934539999999998E-3</v>
          </cell>
        </row>
        <row r="755">
          <cell r="B755" t="str">
            <v>Union Pacific</v>
          </cell>
          <cell r="E755">
            <v>5</v>
          </cell>
          <cell r="F755">
            <v>3.1666820000000001E-3</v>
          </cell>
        </row>
        <row r="756">
          <cell r="B756" t="str">
            <v>Union Pacific</v>
          </cell>
          <cell r="E756">
            <v>5</v>
          </cell>
          <cell r="F756">
            <v>3.6432679999999999E-3</v>
          </cell>
        </row>
        <row r="757">
          <cell r="B757" t="str">
            <v>Union Pacific</v>
          </cell>
          <cell r="E757">
            <v>5</v>
          </cell>
          <cell r="F757">
            <v>0.42722860000000001</v>
          </cell>
        </row>
        <row r="758">
          <cell r="B758" t="str">
            <v>Union Pacific</v>
          </cell>
          <cell r="E758">
            <v>5</v>
          </cell>
          <cell r="F758">
            <v>0.30209760000000002</v>
          </cell>
        </row>
        <row r="759">
          <cell r="B759" t="str">
            <v>Union Pacific</v>
          </cell>
          <cell r="E759">
            <v>5</v>
          </cell>
          <cell r="F759">
            <v>8.3954990000000007E-3</v>
          </cell>
        </row>
        <row r="760">
          <cell r="B760" t="str">
            <v>Union Pacific</v>
          </cell>
          <cell r="E760">
            <v>5</v>
          </cell>
          <cell r="F760">
            <v>4.5401240000000002E-2</v>
          </cell>
        </row>
        <row r="761">
          <cell r="B761" t="str">
            <v>Union Pacific</v>
          </cell>
          <cell r="E761">
            <v>5</v>
          </cell>
          <cell r="F761">
            <v>3.8139649999999999E-3</v>
          </cell>
        </row>
        <row r="762">
          <cell r="B762" t="str">
            <v>Union Pacific</v>
          </cell>
          <cell r="E762">
            <v>5</v>
          </cell>
          <cell r="F762">
            <v>6.5316460000000001E-4</v>
          </cell>
        </row>
        <row r="763">
          <cell r="B763" t="str">
            <v>Union Pacific</v>
          </cell>
          <cell r="E763">
            <v>5</v>
          </cell>
          <cell r="F763">
            <v>9.7624840000000001E-4</v>
          </cell>
        </row>
        <row r="764">
          <cell r="B764" t="str">
            <v>Union Pacific</v>
          </cell>
          <cell r="E764">
            <v>5</v>
          </cell>
          <cell r="F764">
            <v>2.605385E-3</v>
          </cell>
        </row>
        <row r="765">
          <cell r="B765" t="str">
            <v>Union Pacific</v>
          </cell>
          <cell r="E765">
            <v>5</v>
          </cell>
          <cell r="F765">
            <v>9.2423880000000003E-4</v>
          </cell>
        </row>
        <row r="766">
          <cell r="B766" t="str">
            <v>Union Pacific</v>
          </cell>
          <cell r="E766">
            <v>5</v>
          </cell>
          <cell r="F766">
            <v>2.5534339999999998E-3</v>
          </cell>
        </row>
        <row r="767">
          <cell r="B767" t="str">
            <v>Union Pacific</v>
          </cell>
          <cell r="E767">
            <v>5</v>
          </cell>
          <cell r="F767">
            <v>8.7203279999999996E-4</v>
          </cell>
        </row>
        <row r="768">
          <cell r="B768" t="str">
            <v>Union Pacific</v>
          </cell>
          <cell r="E768">
            <v>5</v>
          </cell>
          <cell r="F768">
            <v>3.6440000000000001E-3</v>
          </cell>
        </row>
        <row r="769">
          <cell r="B769" t="str">
            <v>Union Pacific</v>
          </cell>
          <cell r="E769">
            <v>5</v>
          </cell>
          <cell r="F769">
            <v>3.2896510000000002E-3</v>
          </cell>
        </row>
        <row r="770">
          <cell r="B770" t="str">
            <v>Union Pacific</v>
          </cell>
          <cell r="E770">
            <v>5</v>
          </cell>
          <cell r="F770">
            <v>6.5792819999999997E-3</v>
          </cell>
        </row>
        <row r="771">
          <cell r="B771" t="str">
            <v>Union Pacific</v>
          </cell>
          <cell r="E771">
            <v>5</v>
          </cell>
          <cell r="F771">
            <v>1.5284579999999999E-3</v>
          </cell>
        </row>
        <row r="772">
          <cell r="B772" t="str">
            <v>Union Pacific</v>
          </cell>
          <cell r="E772">
            <v>5</v>
          </cell>
          <cell r="F772">
            <v>5.8360599999999997E-4</v>
          </cell>
        </row>
        <row r="773">
          <cell r="B773" t="str">
            <v>Union Pacific</v>
          </cell>
          <cell r="E773">
            <v>5</v>
          </cell>
          <cell r="F773">
            <v>3.9119189999999998E-2</v>
          </cell>
        </row>
        <row r="774">
          <cell r="B774" t="str">
            <v>Union Pacific</v>
          </cell>
          <cell r="E774">
            <v>5</v>
          </cell>
          <cell r="F774">
            <v>1.5094170000000001E-2</v>
          </cell>
        </row>
        <row r="775">
          <cell r="B775" t="str">
            <v>Union Pacific</v>
          </cell>
          <cell r="E775">
            <v>5</v>
          </cell>
          <cell r="F775">
            <v>3.1675019999999998E-2</v>
          </cell>
        </row>
        <row r="776">
          <cell r="B776" t="str">
            <v>Union Pacific</v>
          </cell>
          <cell r="E776">
            <v>5</v>
          </cell>
          <cell r="F776">
            <v>5.0159719999999996E-4</v>
          </cell>
        </row>
        <row r="777">
          <cell r="B777" t="str">
            <v>Union Pacific</v>
          </cell>
          <cell r="E777">
            <v>5</v>
          </cell>
          <cell r="F777">
            <v>7.3461049999999997E-4</v>
          </cell>
        </row>
        <row r="778">
          <cell r="B778" t="str">
            <v>Union Pacific</v>
          </cell>
          <cell r="E778">
            <v>5</v>
          </cell>
          <cell r="F778">
            <v>9.9197109999999995E-4</v>
          </cell>
        </row>
        <row r="779">
          <cell r="B779" t="str">
            <v>Union Pacific</v>
          </cell>
          <cell r="E779">
            <v>5</v>
          </cell>
          <cell r="F779">
            <v>2.0333259999999998E-3</v>
          </cell>
        </row>
        <row r="780">
          <cell r="B780" t="str">
            <v>Union Pacific</v>
          </cell>
          <cell r="E780">
            <v>5</v>
          </cell>
          <cell r="F780">
            <v>3.1364600000000002E-3</v>
          </cell>
        </row>
        <row r="781">
          <cell r="B781" t="str">
            <v>Union Pacific</v>
          </cell>
          <cell r="E781">
            <v>5</v>
          </cell>
          <cell r="F781">
            <v>4.2396389999999999E-3</v>
          </cell>
        </row>
        <row r="782">
          <cell r="B782" t="str">
            <v>Union Pacific</v>
          </cell>
          <cell r="E782">
            <v>5</v>
          </cell>
          <cell r="F782">
            <v>1.1996229999999999E-3</v>
          </cell>
        </row>
        <row r="783">
          <cell r="B783" t="str">
            <v>Union Pacific</v>
          </cell>
          <cell r="E783">
            <v>5</v>
          </cell>
          <cell r="F783">
            <v>4.0007800000000003E-2</v>
          </cell>
        </row>
        <row r="784">
          <cell r="B784" t="str">
            <v>Union Pacific</v>
          </cell>
          <cell r="E784">
            <v>5</v>
          </cell>
          <cell r="F784">
            <v>9.3491440000000002E-3</v>
          </cell>
        </row>
        <row r="785">
          <cell r="B785" t="str">
            <v>Union Pacific</v>
          </cell>
          <cell r="E785">
            <v>5</v>
          </cell>
          <cell r="F785">
            <v>9.3507499999999997E-3</v>
          </cell>
        </row>
        <row r="786">
          <cell r="B786" t="str">
            <v>Union Pacific</v>
          </cell>
          <cell r="E786">
            <v>5</v>
          </cell>
          <cell r="F786">
            <v>8.3482799999999996E-2</v>
          </cell>
        </row>
        <row r="787">
          <cell r="B787" t="str">
            <v>Union Pacific</v>
          </cell>
          <cell r="E787">
            <v>5</v>
          </cell>
          <cell r="F787">
            <v>6.2372030000000002E-2</v>
          </cell>
        </row>
        <row r="788">
          <cell r="B788" t="str">
            <v>Union Pacific</v>
          </cell>
          <cell r="E788">
            <v>5</v>
          </cell>
          <cell r="F788">
            <v>1.8140929999999999E-3</v>
          </cell>
        </row>
        <row r="789">
          <cell r="B789" t="str">
            <v>Union Pacific</v>
          </cell>
          <cell r="E789">
            <v>5</v>
          </cell>
          <cell r="F789">
            <v>2.907189E-2</v>
          </cell>
        </row>
        <row r="790">
          <cell r="B790" t="str">
            <v>Union Pacific</v>
          </cell>
          <cell r="E790">
            <v>5</v>
          </cell>
          <cell r="F790">
            <v>7.3617580000000002E-2</v>
          </cell>
        </row>
        <row r="791">
          <cell r="B791" t="str">
            <v>Union Pacific</v>
          </cell>
          <cell r="E791">
            <v>5</v>
          </cell>
          <cell r="F791">
            <v>1.189977E-2</v>
          </cell>
        </row>
        <row r="792">
          <cell r="B792" t="str">
            <v>Union Pacific</v>
          </cell>
          <cell r="E792">
            <v>5</v>
          </cell>
          <cell r="F792">
            <v>1.2039080000000001E-2</v>
          </cell>
        </row>
        <row r="793">
          <cell r="B793" t="str">
            <v>Union Pacific</v>
          </cell>
          <cell r="E793">
            <v>5</v>
          </cell>
          <cell r="F793">
            <v>6.2785250000000001E-3</v>
          </cell>
        </row>
        <row r="794">
          <cell r="B794" t="str">
            <v>Union Pacific</v>
          </cell>
          <cell r="E794">
            <v>5</v>
          </cell>
          <cell r="F794">
            <v>4.4576549999999996E-3</v>
          </cell>
        </row>
        <row r="795">
          <cell r="B795" t="str">
            <v>Union Pacific</v>
          </cell>
          <cell r="E795">
            <v>5</v>
          </cell>
          <cell r="F795">
            <v>4.4585129999999998E-4</v>
          </cell>
        </row>
        <row r="796">
          <cell r="B796" t="str">
            <v>Union Pacific</v>
          </cell>
          <cell r="E796">
            <v>5</v>
          </cell>
          <cell r="F796">
            <v>3.7321059999999998E-3</v>
          </cell>
        </row>
        <row r="797">
          <cell r="B797" t="str">
            <v>Union Pacific</v>
          </cell>
          <cell r="E797">
            <v>5</v>
          </cell>
          <cell r="F797">
            <v>3.8874159999999999E-3</v>
          </cell>
        </row>
        <row r="798">
          <cell r="B798" t="str">
            <v>Union Pacific</v>
          </cell>
          <cell r="E798">
            <v>5</v>
          </cell>
          <cell r="F798">
            <v>4.0425510000000001E-3</v>
          </cell>
        </row>
        <row r="799">
          <cell r="B799" t="str">
            <v>Union Pacific</v>
          </cell>
          <cell r="E799">
            <v>5</v>
          </cell>
          <cell r="F799">
            <v>4.3437550000000004E-3</v>
          </cell>
        </row>
        <row r="800">
          <cell r="B800" t="str">
            <v>Union Pacific</v>
          </cell>
          <cell r="E800">
            <v>5</v>
          </cell>
          <cell r="F800">
            <v>4.4650150000000001E-3</v>
          </cell>
        </row>
        <row r="801">
          <cell r="B801" t="str">
            <v>Union Pacific</v>
          </cell>
          <cell r="E801">
            <v>5</v>
          </cell>
          <cell r="F801">
            <v>1.3850990000000001E-3</v>
          </cell>
        </row>
        <row r="802">
          <cell r="B802" t="str">
            <v>Union Pacific</v>
          </cell>
          <cell r="E802">
            <v>5</v>
          </cell>
          <cell r="F802">
            <v>1.6429550000000001E-2</v>
          </cell>
        </row>
        <row r="803">
          <cell r="B803" t="str">
            <v>Union Pacific</v>
          </cell>
          <cell r="E803">
            <v>5</v>
          </cell>
          <cell r="F803">
            <v>3.8302000000000003E-2</v>
          </cell>
        </row>
        <row r="804">
          <cell r="B804" t="str">
            <v>Union Pacific</v>
          </cell>
          <cell r="E804">
            <v>5</v>
          </cell>
          <cell r="F804">
            <v>3.2421120000000001E-3</v>
          </cell>
        </row>
        <row r="805">
          <cell r="B805" t="str">
            <v>Union Pacific</v>
          </cell>
          <cell r="E805">
            <v>5</v>
          </cell>
          <cell r="F805">
            <v>1.452067E-3</v>
          </cell>
        </row>
        <row r="806">
          <cell r="B806" t="str">
            <v>Union Pacific</v>
          </cell>
          <cell r="E806">
            <v>5</v>
          </cell>
          <cell r="F806">
            <v>3.5496220000000001E-3</v>
          </cell>
        </row>
        <row r="807">
          <cell r="B807" t="str">
            <v>Union Pacific</v>
          </cell>
          <cell r="E807">
            <v>5</v>
          </cell>
          <cell r="F807">
            <v>0.23424449999999999</v>
          </cell>
        </row>
        <row r="808">
          <cell r="B808" t="str">
            <v>Union Pacific</v>
          </cell>
          <cell r="E808">
            <v>5</v>
          </cell>
          <cell r="F808">
            <v>1.6933359999999999E-4</v>
          </cell>
        </row>
        <row r="809">
          <cell r="B809" t="str">
            <v>Union Pacific</v>
          </cell>
          <cell r="E809">
            <v>5</v>
          </cell>
          <cell r="F809">
            <v>3.3022529999999998E-3</v>
          </cell>
        </row>
        <row r="810">
          <cell r="B810" t="str">
            <v>Union Pacific</v>
          </cell>
          <cell r="E810">
            <v>5</v>
          </cell>
          <cell r="F810">
            <v>4.784394E-3</v>
          </cell>
        </row>
        <row r="811">
          <cell r="B811" t="str">
            <v>Union Pacific</v>
          </cell>
          <cell r="E811">
            <v>5</v>
          </cell>
          <cell r="F811">
            <v>3.7564550000000001E-3</v>
          </cell>
        </row>
        <row r="812">
          <cell r="B812" t="str">
            <v>Union Pacific</v>
          </cell>
          <cell r="E812">
            <v>5</v>
          </cell>
          <cell r="F812">
            <v>2.9221400000000002E-3</v>
          </cell>
        </row>
        <row r="813">
          <cell r="B813" t="str">
            <v>Union Pacific</v>
          </cell>
          <cell r="E813">
            <v>5</v>
          </cell>
          <cell r="F813">
            <v>2.5050670000000001E-3</v>
          </cell>
        </row>
        <row r="814">
          <cell r="B814" t="str">
            <v>Union Pacific</v>
          </cell>
          <cell r="E814">
            <v>5</v>
          </cell>
          <cell r="F814">
            <v>3.1152939999999998E-3</v>
          </cell>
        </row>
        <row r="815">
          <cell r="B815" t="str">
            <v>Union Pacific</v>
          </cell>
          <cell r="E815">
            <v>5</v>
          </cell>
          <cell r="F815">
            <v>2.065577E-2</v>
          </cell>
        </row>
        <row r="816">
          <cell r="B816" t="str">
            <v>Union Pacific</v>
          </cell>
          <cell r="E816">
            <v>5</v>
          </cell>
          <cell r="F816">
            <v>6.170233E-2</v>
          </cell>
        </row>
        <row r="817">
          <cell r="B817" t="str">
            <v>Union Pacific</v>
          </cell>
          <cell r="E817">
            <v>5</v>
          </cell>
          <cell r="F817">
            <v>3.913142E-2</v>
          </cell>
        </row>
        <row r="818">
          <cell r="B818" t="str">
            <v>Union Pacific</v>
          </cell>
          <cell r="E818">
            <v>5</v>
          </cell>
          <cell r="F818">
            <v>8.4178989999999995E-2</v>
          </cell>
        </row>
        <row r="819">
          <cell r="B819" t="str">
            <v>Union Pacific</v>
          </cell>
          <cell r="E819">
            <v>5</v>
          </cell>
          <cell r="F819">
            <v>1.247906E-2</v>
          </cell>
        </row>
        <row r="820">
          <cell r="B820" t="str">
            <v>Union Pacific</v>
          </cell>
          <cell r="E820">
            <v>5</v>
          </cell>
          <cell r="F820">
            <v>2.496278E-2</v>
          </cell>
        </row>
        <row r="821">
          <cell r="B821" t="str">
            <v>Union Pacific</v>
          </cell>
          <cell r="E821">
            <v>5</v>
          </cell>
          <cell r="F821">
            <v>1.502958E-3</v>
          </cell>
        </row>
        <row r="822">
          <cell r="B822" t="str">
            <v>Union Pacific</v>
          </cell>
          <cell r="E822">
            <v>5</v>
          </cell>
          <cell r="F822">
            <v>1.538453E-3</v>
          </cell>
        </row>
        <row r="823">
          <cell r="B823" t="str">
            <v>Union Pacific</v>
          </cell>
          <cell r="E823">
            <v>5</v>
          </cell>
          <cell r="F823">
            <v>5.4619559999999996E-3</v>
          </cell>
        </row>
        <row r="824">
          <cell r="B824" t="str">
            <v>Union Pacific</v>
          </cell>
          <cell r="E824">
            <v>5</v>
          </cell>
          <cell r="F824">
            <v>6.1037069999999999E-3</v>
          </cell>
        </row>
        <row r="825">
          <cell r="B825" t="str">
            <v>Union Pacific</v>
          </cell>
          <cell r="E825">
            <v>5</v>
          </cell>
          <cell r="F825">
            <v>3.2814770000000001E-3</v>
          </cell>
        </row>
        <row r="826">
          <cell r="B826" t="str">
            <v>Union Pacific</v>
          </cell>
          <cell r="E826">
            <v>5</v>
          </cell>
          <cell r="F826">
            <v>4.1058689999999998E-3</v>
          </cell>
        </row>
        <row r="827">
          <cell r="B827" t="str">
            <v>Union Pacific</v>
          </cell>
          <cell r="E827">
            <v>5</v>
          </cell>
          <cell r="F827">
            <v>6.441703E-2</v>
          </cell>
        </row>
        <row r="828">
          <cell r="B828" t="str">
            <v>Union Pacific</v>
          </cell>
          <cell r="E828">
            <v>5</v>
          </cell>
          <cell r="F828">
            <v>9.8889649999999996E-3</v>
          </cell>
        </row>
        <row r="829">
          <cell r="B829" t="str">
            <v>Union Pacific</v>
          </cell>
          <cell r="E829">
            <v>5</v>
          </cell>
          <cell r="F829">
            <v>7.1470650000000002E-3</v>
          </cell>
        </row>
        <row r="830">
          <cell r="B830" t="str">
            <v>Union Pacific</v>
          </cell>
          <cell r="E830">
            <v>5</v>
          </cell>
          <cell r="F830">
            <v>9.0967630000000008E-3</v>
          </cell>
        </row>
        <row r="831">
          <cell r="B831" t="str">
            <v>Union Pacific</v>
          </cell>
          <cell r="E831">
            <v>5</v>
          </cell>
          <cell r="F831">
            <v>9.9197439999999994E-3</v>
          </cell>
        </row>
        <row r="832">
          <cell r="B832" t="str">
            <v>Union Pacific</v>
          </cell>
          <cell r="E832">
            <v>5</v>
          </cell>
          <cell r="F832">
            <v>1.17112E-2</v>
          </cell>
        </row>
        <row r="833">
          <cell r="B833" t="str">
            <v>Union Pacific</v>
          </cell>
          <cell r="E833">
            <v>5</v>
          </cell>
          <cell r="F833">
            <v>4.9336209999999998E-2</v>
          </cell>
        </row>
        <row r="834">
          <cell r="B834" t="str">
            <v>Union Pacific</v>
          </cell>
          <cell r="E834">
            <v>5</v>
          </cell>
          <cell r="F834">
            <v>6.6131499999999999E-3</v>
          </cell>
        </row>
        <row r="835">
          <cell r="B835" t="str">
            <v>Union Pacific</v>
          </cell>
          <cell r="E835">
            <v>5</v>
          </cell>
          <cell r="F835">
            <v>3.3064769999999999E-3</v>
          </cell>
        </row>
        <row r="836">
          <cell r="B836" t="str">
            <v>Union Pacific</v>
          </cell>
          <cell r="E836">
            <v>5</v>
          </cell>
          <cell r="F836">
            <v>3.3065350000000002E-3</v>
          </cell>
        </row>
        <row r="837">
          <cell r="B837" t="str">
            <v>Union Pacific</v>
          </cell>
          <cell r="E837">
            <v>5</v>
          </cell>
          <cell r="F837">
            <v>3.3066150000000002E-3</v>
          </cell>
        </row>
        <row r="838">
          <cell r="B838" t="str">
            <v>Union Pacific</v>
          </cell>
          <cell r="E838">
            <v>5</v>
          </cell>
          <cell r="F838">
            <v>3.3066150000000002E-3</v>
          </cell>
        </row>
        <row r="839">
          <cell r="B839" t="str">
            <v>Union Pacific</v>
          </cell>
          <cell r="E839">
            <v>5</v>
          </cell>
          <cell r="F839">
            <v>3.9530769999999998E-4</v>
          </cell>
        </row>
        <row r="840">
          <cell r="B840" t="str">
            <v>Union Pacific</v>
          </cell>
          <cell r="E840">
            <v>5</v>
          </cell>
          <cell r="F840">
            <v>1.399782E-3</v>
          </cell>
        </row>
        <row r="841">
          <cell r="B841" t="str">
            <v>Union Pacific</v>
          </cell>
          <cell r="E841">
            <v>5</v>
          </cell>
          <cell r="F841">
            <v>3.3064890000000001E-3</v>
          </cell>
        </row>
        <row r="842">
          <cell r="B842" t="str">
            <v>Union Pacific</v>
          </cell>
          <cell r="E842">
            <v>5</v>
          </cell>
          <cell r="F842">
            <v>3.3064890000000001E-3</v>
          </cell>
        </row>
        <row r="843">
          <cell r="B843" t="str">
            <v>Union Pacific</v>
          </cell>
          <cell r="E843">
            <v>5</v>
          </cell>
          <cell r="F843">
            <v>4.5590209999999998E-4</v>
          </cell>
        </row>
        <row r="844">
          <cell r="B844" t="str">
            <v>Union Pacific</v>
          </cell>
          <cell r="E844">
            <v>5</v>
          </cell>
          <cell r="F844">
            <v>1.02348E-3</v>
          </cell>
        </row>
        <row r="845">
          <cell r="B845" t="str">
            <v>Union Pacific</v>
          </cell>
          <cell r="E845">
            <v>5</v>
          </cell>
          <cell r="F845">
            <v>3.306547E-3</v>
          </cell>
        </row>
        <row r="846">
          <cell r="B846" t="str">
            <v>Union Pacific</v>
          </cell>
          <cell r="E846">
            <v>5</v>
          </cell>
          <cell r="F846">
            <v>1.3073080000000001E-3</v>
          </cell>
        </row>
        <row r="847">
          <cell r="B847" t="str">
            <v>Union Pacific</v>
          </cell>
          <cell r="E847">
            <v>5</v>
          </cell>
          <cell r="F847">
            <v>6.6129780000000003E-3</v>
          </cell>
        </row>
        <row r="848">
          <cell r="B848" t="str">
            <v>Union Pacific</v>
          </cell>
          <cell r="E848">
            <v>5</v>
          </cell>
          <cell r="F848">
            <v>6.6129780000000003E-3</v>
          </cell>
        </row>
        <row r="849">
          <cell r="B849" t="str">
            <v>Union Pacific</v>
          </cell>
          <cell r="E849">
            <v>5</v>
          </cell>
          <cell r="F849">
            <v>3.306481E-2</v>
          </cell>
        </row>
        <row r="850">
          <cell r="B850" t="str">
            <v>Union Pacific</v>
          </cell>
          <cell r="E850">
            <v>5</v>
          </cell>
          <cell r="F850">
            <v>6.6129780000000003E-3</v>
          </cell>
        </row>
        <row r="851">
          <cell r="B851" t="str">
            <v>Union Pacific</v>
          </cell>
          <cell r="E851">
            <v>5</v>
          </cell>
          <cell r="F851">
            <v>3.3064090000000002E-3</v>
          </cell>
        </row>
        <row r="852">
          <cell r="B852" t="str">
            <v>Union Pacific</v>
          </cell>
          <cell r="E852">
            <v>5</v>
          </cell>
          <cell r="F852">
            <v>8.6170089999999995E-4</v>
          </cell>
        </row>
        <row r="853">
          <cell r="B853" t="str">
            <v>Union Pacific</v>
          </cell>
          <cell r="E853">
            <v>5</v>
          </cell>
          <cell r="F853">
            <v>3.3062170000000002E-3</v>
          </cell>
        </row>
        <row r="854">
          <cell r="B854" t="str">
            <v>Union Pacific</v>
          </cell>
          <cell r="E854">
            <v>5</v>
          </cell>
          <cell r="F854">
            <v>3.306158E-3</v>
          </cell>
        </row>
        <row r="855">
          <cell r="B855" t="str">
            <v>Union Pacific</v>
          </cell>
          <cell r="E855">
            <v>5</v>
          </cell>
          <cell r="F855">
            <v>2.035008E-3</v>
          </cell>
        </row>
        <row r="856">
          <cell r="B856" t="str">
            <v>Union Pacific</v>
          </cell>
          <cell r="E856">
            <v>5</v>
          </cell>
          <cell r="F856">
            <v>2.6425170000000001E-2</v>
          </cell>
        </row>
        <row r="857">
          <cell r="B857" t="str">
            <v>Union Pacific</v>
          </cell>
          <cell r="E857">
            <v>5</v>
          </cell>
          <cell r="F857">
            <v>1.18079E-2</v>
          </cell>
        </row>
        <row r="858">
          <cell r="B858" t="str">
            <v>Union Pacific</v>
          </cell>
          <cell r="E858">
            <v>5</v>
          </cell>
          <cell r="F858">
            <v>9.9162420000000005E-3</v>
          </cell>
        </row>
        <row r="859">
          <cell r="B859" t="str">
            <v>Union Pacific</v>
          </cell>
          <cell r="E859">
            <v>5</v>
          </cell>
          <cell r="F859">
            <v>6.6147610000000003E-3</v>
          </cell>
        </row>
        <row r="860">
          <cell r="B860" t="str">
            <v>Union Pacific</v>
          </cell>
          <cell r="E860">
            <v>5</v>
          </cell>
          <cell r="F860">
            <v>3.3073120000000002E-3</v>
          </cell>
        </row>
        <row r="861">
          <cell r="B861" t="str">
            <v>Union Pacific</v>
          </cell>
          <cell r="E861">
            <v>5</v>
          </cell>
          <cell r="F861">
            <v>3.30737E-3</v>
          </cell>
        </row>
        <row r="862">
          <cell r="B862" t="str">
            <v>Union Pacific</v>
          </cell>
          <cell r="E862">
            <v>5</v>
          </cell>
          <cell r="F862">
            <v>3.30737E-3</v>
          </cell>
        </row>
        <row r="863">
          <cell r="B863" t="str">
            <v>Union Pacific</v>
          </cell>
          <cell r="E863">
            <v>5</v>
          </cell>
          <cell r="F863">
            <v>3.3073120000000002E-3</v>
          </cell>
        </row>
        <row r="864">
          <cell r="B864" t="str">
            <v>Union Pacific</v>
          </cell>
          <cell r="E864">
            <v>5</v>
          </cell>
          <cell r="F864">
            <v>3.30737E-3</v>
          </cell>
        </row>
        <row r="865">
          <cell r="B865" t="str">
            <v>Union Pacific</v>
          </cell>
          <cell r="E865">
            <v>5</v>
          </cell>
          <cell r="F865">
            <v>3.3073120000000002E-3</v>
          </cell>
        </row>
        <row r="866">
          <cell r="B866" t="str">
            <v>Union Pacific</v>
          </cell>
          <cell r="E866">
            <v>5</v>
          </cell>
          <cell r="F866">
            <v>3.3073909999999998E-3</v>
          </cell>
        </row>
        <row r="867">
          <cell r="B867" t="str">
            <v>Union Pacific</v>
          </cell>
          <cell r="E867">
            <v>5</v>
          </cell>
          <cell r="F867">
            <v>1.083863E-2</v>
          </cell>
        </row>
        <row r="868">
          <cell r="B868" t="str">
            <v>Union Pacific</v>
          </cell>
          <cell r="E868">
            <v>5</v>
          </cell>
          <cell r="F868">
            <v>3.3842879999999999E-2</v>
          </cell>
        </row>
        <row r="869">
          <cell r="B869" t="str">
            <v>Union Pacific</v>
          </cell>
          <cell r="E869">
            <v>5</v>
          </cell>
          <cell r="F869">
            <v>0.31441350000000001</v>
          </cell>
        </row>
        <row r="870">
          <cell r="B870" t="str">
            <v>Union Pacific</v>
          </cell>
          <cell r="E870">
            <v>5</v>
          </cell>
          <cell r="F870">
            <v>2.4120119999999998E-2</v>
          </cell>
        </row>
        <row r="871">
          <cell r="B871" t="str">
            <v>Union Pacific</v>
          </cell>
          <cell r="E871">
            <v>5</v>
          </cell>
          <cell r="F871">
            <v>5.6810469999999998E-3</v>
          </cell>
        </row>
        <row r="872">
          <cell r="B872" t="str">
            <v>Union Pacific</v>
          </cell>
          <cell r="E872">
            <v>5</v>
          </cell>
          <cell r="F872">
            <v>0.1716319</v>
          </cell>
        </row>
        <row r="873">
          <cell r="B873" t="str">
            <v>Union Pacific</v>
          </cell>
          <cell r="E873">
            <v>5</v>
          </cell>
          <cell r="F873">
            <v>4.1813379999999997E-3</v>
          </cell>
        </row>
        <row r="874">
          <cell r="B874" t="str">
            <v>Union Pacific</v>
          </cell>
          <cell r="E874">
            <v>5</v>
          </cell>
          <cell r="F874">
            <v>1.2679630000000001E-2</v>
          </cell>
        </row>
        <row r="875">
          <cell r="B875" t="str">
            <v>Union Pacific</v>
          </cell>
          <cell r="E875">
            <v>5</v>
          </cell>
          <cell r="F875">
            <v>1.0117050000000001E-2</v>
          </cell>
        </row>
        <row r="876">
          <cell r="B876" t="str">
            <v>Union Pacific</v>
          </cell>
          <cell r="E876">
            <v>5</v>
          </cell>
          <cell r="F876">
            <v>7.555099E-3</v>
          </cell>
        </row>
        <row r="877">
          <cell r="B877" t="str">
            <v>Union Pacific</v>
          </cell>
          <cell r="E877">
            <v>5</v>
          </cell>
          <cell r="F877">
            <v>0.35794199999999998</v>
          </cell>
        </row>
        <row r="878">
          <cell r="B878" t="str">
            <v>Union Pacific</v>
          </cell>
          <cell r="E878">
            <v>5</v>
          </cell>
          <cell r="F878">
            <v>8.2127299999999997E-3</v>
          </cell>
        </row>
        <row r="879">
          <cell r="B879" t="str">
            <v>Union Pacific</v>
          </cell>
          <cell r="E879">
            <v>5</v>
          </cell>
          <cell r="F879">
            <v>5.650525E-3</v>
          </cell>
        </row>
        <row r="880">
          <cell r="B880" t="str">
            <v>Union Pacific</v>
          </cell>
          <cell r="E880">
            <v>5</v>
          </cell>
          <cell r="F880">
            <v>9.4980780000000001E-3</v>
          </cell>
        </row>
        <row r="881">
          <cell r="B881" t="str">
            <v>Union Pacific</v>
          </cell>
          <cell r="E881">
            <v>5</v>
          </cell>
          <cell r="F881">
            <v>3.787108E-3</v>
          </cell>
        </row>
        <row r="882">
          <cell r="B882" t="str">
            <v>Union Pacific</v>
          </cell>
          <cell r="E882">
            <v>5</v>
          </cell>
          <cell r="F882">
            <v>1.5038219999999999E-3</v>
          </cell>
        </row>
        <row r="883">
          <cell r="B883" t="str">
            <v>Union Pacific</v>
          </cell>
          <cell r="E883">
            <v>5</v>
          </cell>
          <cell r="F883">
            <v>0.28802319999999998</v>
          </cell>
        </row>
        <row r="884">
          <cell r="B884" t="str">
            <v>Union Pacific</v>
          </cell>
          <cell r="E884">
            <v>5</v>
          </cell>
          <cell r="F884">
            <v>2.5276069999999999E-3</v>
          </cell>
        </row>
        <row r="885">
          <cell r="B885" t="str">
            <v>Union Pacific</v>
          </cell>
          <cell r="E885">
            <v>5</v>
          </cell>
          <cell r="F885">
            <v>3.1525020000000002E-3</v>
          </cell>
        </row>
        <row r="886">
          <cell r="B886" t="str">
            <v>Union Pacific</v>
          </cell>
          <cell r="E886">
            <v>5</v>
          </cell>
          <cell r="F886">
            <v>3.2523000000000001E-3</v>
          </cell>
        </row>
        <row r="887">
          <cell r="B887" t="str">
            <v>Union Pacific</v>
          </cell>
          <cell r="E887">
            <v>5</v>
          </cell>
          <cell r="F887">
            <v>6.5046590000000003E-3</v>
          </cell>
        </row>
        <row r="888">
          <cell r="B888" t="str">
            <v>Union Pacific</v>
          </cell>
          <cell r="E888">
            <v>5</v>
          </cell>
          <cell r="F888">
            <v>6.5046590000000003E-3</v>
          </cell>
        </row>
        <row r="889">
          <cell r="B889" t="str">
            <v>Union Pacific</v>
          </cell>
          <cell r="E889">
            <v>5</v>
          </cell>
          <cell r="F889">
            <v>6.504719E-3</v>
          </cell>
        </row>
        <row r="890">
          <cell r="B890" t="str">
            <v>Union Pacific</v>
          </cell>
          <cell r="E890">
            <v>5</v>
          </cell>
          <cell r="F890">
            <v>6.504719E-3</v>
          </cell>
        </row>
        <row r="891">
          <cell r="B891" t="str">
            <v>Union Pacific</v>
          </cell>
          <cell r="E891">
            <v>5</v>
          </cell>
          <cell r="F891">
            <v>3.4808320000000001E-3</v>
          </cell>
        </row>
        <row r="892">
          <cell r="B892" t="str">
            <v>Union Pacific</v>
          </cell>
          <cell r="E892">
            <v>5</v>
          </cell>
          <cell r="F892">
            <v>2.8562520000000001E-3</v>
          </cell>
        </row>
        <row r="893">
          <cell r="B893" t="str">
            <v>Union Pacific</v>
          </cell>
          <cell r="E893">
            <v>5</v>
          </cell>
          <cell r="F893">
            <v>2.23128E-3</v>
          </cell>
        </row>
        <row r="894">
          <cell r="B894" t="str">
            <v>Union Pacific</v>
          </cell>
          <cell r="E894">
            <v>5</v>
          </cell>
          <cell r="F894">
            <v>1.6066400000000001E-3</v>
          </cell>
        </row>
        <row r="895">
          <cell r="B895" t="str">
            <v>Union Pacific</v>
          </cell>
          <cell r="E895">
            <v>5</v>
          </cell>
          <cell r="F895">
            <v>6.3237040000000003E-3</v>
          </cell>
        </row>
        <row r="896">
          <cell r="B896" t="str">
            <v>Union Pacific</v>
          </cell>
          <cell r="E896">
            <v>5</v>
          </cell>
          <cell r="F896">
            <v>3.258014E-3</v>
          </cell>
        </row>
        <row r="897">
          <cell r="B897" t="str">
            <v>Union Pacific</v>
          </cell>
          <cell r="E897">
            <v>5</v>
          </cell>
          <cell r="F897">
            <v>3.2372630000000002E-3</v>
          </cell>
        </row>
        <row r="898">
          <cell r="B898" t="str">
            <v>Union Pacific</v>
          </cell>
          <cell r="E898">
            <v>5</v>
          </cell>
          <cell r="F898">
            <v>5.238338E-2</v>
          </cell>
        </row>
        <row r="899">
          <cell r="B899" t="str">
            <v>Union Pacific</v>
          </cell>
          <cell r="E899">
            <v>5</v>
          </cell>
          <cell r="F899">
            <v>8.7039070000000003E-3</v>
          </cell>
        </row>
        <row r="900">
          <cell r="B900" t="str">
            <v>Union Pacific</v>
          </cell>
          <cell r="E900">
            <v>5</v>
          </cell>
          <cell r="F900">
            <v>6.9425899999999999E-2</v>
          </cell>
        </row>
        <row r="901">
          <cell r="B901" t="str">
            <v>Union Pacific</v>
          </cell>
          <cell r="E901">
            <v>5</v>
          </cell>
          <cell r="F901">
            <v>5.2043880000000001E-2</v>
          </cell>
        </row>
        <row r="902">
          <cell r="B902" t="str">
            <v>Union Pacific</v>
          </cell>
          <cell r="E902">
            <v>5</v>
          </cell>
          <cell r="F902">
            <v>1.1487520000000001E-3</v>
          </cell>
        </row>
        <row r="903">
          <cell r="B903" t="str">
            <v>Union Pacific</v>
          </cell>
          <cell r="E903">
            <v>5</v>
          </cell>
          <cell r="F903">
            <v>4.2666040000000002E-3</v>
          </cell>
        </row>
        <row r="904">
          <cell r="B904" t="str">
            <v>Union Pacific</v>
          </cell>
          <cell r="E904">
            <v>5</v>
          </cell>
          <cell r="F904">
            <v>4.229025E-3</v>
          </cell>
        </row>
        <row r="905">
          <cell r="B905" t="str">
            <v>Union Pacific</v>
          </cell>
          <cell r="E905">
            <v>5</v>
          </cell>
          <cell r="F905">
            <v>3.7582840000000002E-3</v>
          </cell>
        </row>
        <row r="906">
          <cell r="B906" t="str">
            <v>Union Pacific</v>
          </cell>
          <cell r="E906">
            <v>5</v>
          </cell>
          <cell r="F906">
            <v>3.287463E-3</v>
          </cell>
        </row>
        <row r="907">
          <cell r="B907" t="str">
            <v>Union Pacific</v>
          </cell>
          <cell r="E907">
            <v>5</v>
          </cell>
          <cell r="F907">
            <v>2.8167219999999998E-3</v>
          </cell>
        </row>
        <row r="908">
          <cell r="B908" t="str">
            <v>Union Pacific</v>
          </cell>
          <cell r="E908">
            <v>5</v>
          </cell>
          <cell r="F908">
            <v>2.3459819999999999E-3</v>
          </cell>
        </row>
        <row r="909">
          <cell r="B909" t="str">
            <v>Union Pacific</v>
          </cell>
          <cell r="E909">
            <v>5</v>
          </cell>
          <cell r="F909">
            <v>1.40442E-3</v>
          </cell>
        </row>
        <row r="910">
          <cell r="B910" t="str">
            <v>Union Pacific</v>
          </cell>
          <cell r="E910">
            <v>5</v>
          </cell>
          <cell r="F910">
            <v>9.3367999999999999E-4</v>
          </cell>
        </row>
        <row r="911">
          <cell r="B911" t="str">
            <v>Union Pacific</v>
          </cell>
          <cell r="E911">
            <v>5</v>
          </cell>
          <cell r="F911">
            <v>4.281473E-3</v>
          </cell>
        </row>
        <row r="912">
          <cell r="B912" t="str">
            <v>Union Pacific</v>
          </cell>
          <cell r="E912">
            <v>5</v>
          </cell>
          <cell r="F912">
            <v>4.273453E-3</v>
          </cell>
        </row>
        <row r="913">
          <cell r="B913" t="str">
            <v>Union Pacific</v>
          </cell>
          <cell r="E913">
            <v>5</v>
          </cell>
          <cell r="F913">
            <v>3.8027120000000002E-3</v>
          </cell>
        </row>
        <row r="914">
          <cell r="B914" t="str">
            <v>Union Pacific</v>
          </cell>
          <cell r="E914">
            <v>5</v>
          </cell>
          <cell r="F914">
            <v>2.8609540000000002E-3</v>
          </cell>
        </row>
        <row r="915">
          <cell r="B915" t="str">
            <v>Union Pacific</v>
          </cell>
          <cell r="E915">
            <v>5</v>
          </cell>
          <cell r="F915">
            <v>2.390133E-3</v>
          </cell>
        </row>
        <row r="916">
          <cell r="B916" t="str">
            <v>Union Pacific</v>
          </cell>
          <cell r="E916">
            <v>5</v>
          </cell>
          <cell r="F916">
            <v>1.9193109999999999E-3</v>
          </cell>
        </row>
        <row r="917">
          <cell r="B917" t="str">
            <v>Union Pacific</v>
          </cell>
          <cell r="E917">
            <v>5</v>
          </cell>
          <cell r="F917">
            <v>1.4485710000000001E-3</v>
          </cell>
        </row>
        <row r="918">
          <cell r="B918" t="str">
            <v>Union Pacific</v>
          </cell>
          <cell r="E918">
            <v>5</v>
          </cell>
          <cell r="F918">
            <v>9.7777350000000009E-4</v>
          </cell>
        </row>
        <row r="919">
          <cell r="B919" t="str">
            <v>Union Pacific</v>
          </cell>
          <cell r="E919">
            <v>5</v>
          </cell>
          <cell r="F919">
            <v>5.0675589999999999E-4</v>
          </cell>
        </row>
        <row r="920">
          <cell r="B920" t="str">
            <v>Union Pacific</v>
          </cell>
          <cell r="E920">
            <v>5</v>
          </cell>
          <cell r="F920">
            <v>3.5680979999999998E-5</v>
          </cell>
        </row>
        <row r="921">
          <cell r="B921" t="str">
            <v>Union Pacific</v>
          </cell>
          <cell r="E921">
            <v>5</v>
          </cell>
          <cell r="F921">
            <v>4.9783329999999997E-3</v>
          </cell>
        </row>
        <row r="922">
          <cell r="B922" t="str">
            <v>Union Pacific</v>
          </cell>
          <cell r="E922">
            <v>5</v>
          </cell>
          <cell r="F922">
            <v>0.32258189999999998</v>
          </cell>
        </row>
        <row r="923">
          <cell r="B923" t="str">
            <v>Union Pacific</v>
          </cell>
          <cell r="E923">
            <v>5</v>
          </cell>
          <cell r="F923">
            <v>3.6483420000000003E-2</v>
          </cell>
        </row>
        <row r="924">
          <cell r="B924" t="str">
            <v>Union Pacific</v>
          </cell>
          <cell r="E924">
            <v>5</v>
          </cell>
          <cell r="F924">
            <v>0.102953</v>
          </cell>
        </row>
        <row r="925">
          <cell r="B925" t="str">
            <v>Union Pacific</v>
          </cell>
          <cell r="E925">
            <v>5</v>
          </cell>
          <cell r="F925">
            <v>5.6051820000000002E-3</v>
          </cell>
        </row>
        <row r="926">
          <cell r="B926" t="str">
            <v>Union Pacific</v>
          </cell>
          <cell r="E926">
            <v>5</v>
          </cell>
          <cell r="F926">
            <v>4.3636150000000004E-3</v>
          </cell>
        </row>
        <row r="927">
          <cell r="B927" t="str">
            <v>Union Pacific</v>
          </cell>
          <cell r="E927">
            <v>5</v>
          </cell>
          <cell r="F927">
            <v>1.891708E-3</v>
          </cell>
        </row>
        <row r="928">
          <cell r="B928" t="str">
            <v>Union Pacific</v>
          </cell>
          <cell r="E928">
            <v>5</v>
          </cell>
          <cell r="F928">
            <v>7.3458639999999997E-3</v>
          </cell>
        </row>
        <row r="929">
          <cell r="B929" t="str">
            <v>Union Pacific</v>
          </cell>
          <cell r="E929">
            <v>5</v>
          </cell>
          <cell r="F929">
            <v>7.055347E-3</v>
          </cell>
        </row>
        <row r="930">
          <cell r="B930" t="str">
            <v>Union Pacific</v>
          </cell>
          <cell r="E930">
            <v>5</v>
          </cell>
          <cell r="F930">
            <v>1.310257E-3</v>
          </cell>
        </row>
        <row r="931">
          <cell r="B931" t="str">
            <v>Union Pacific</v>
          </cell>
          <cell r="E931">
            <v>5</v>
          </cell>
          <cell r="F931">
            <v>4.342739E-3</v>
          </cell>
        </row>
        <row r="932">
          <cell r="B932" t="str">
            <v>Union Pacific</v>
          </cell>
          <cell r="E932">
            <v>5</v>
          </cell>
          <cell r="F932">
            <v>7.9053509999999997E-3</v>
          </cell>
        </row>
        <row r="933">
          <cell r="B933" t="str">
            <v>Union Pacific</v>
          </cell>
          <cell r="E933">
            <v>5</v>
          </cell>
          <cell r="F933">
            <v>7.3748479999999998E-3</v>
          </cell>
        </row>
        <row r="934">
          <cell r="B934" t="str">
            <v>Union Pacific</v>
          </cell>
          <cell r="E934">
            <v>5</v>
          </cell>
          <cell r="F934">
            <v>3.1001650000000002E-3</v>
          </cell>
        </row>
        <row r="935">
          <cell r="B935" t="str">
            <v>Union Pacific</v>
          </cell>
          <cell r="E935">
            <v>5</v>
          </cell>
          <cell r="F935">
            <v>0.1143311</v>
          </cell>
        </row>
        <row r="936">
          <cell r="B936" t="str">
            <v>N/A</v>
          </cell>
          <cell r="E936">
            <v>4</v>
          </cell>
          <cell r="F936">
            <v>1.5865540000000001E-2</v>
          </cell>
        </row>
        <row r="937">
          <cell r="B937" t="str">
            <v>N/A</v>
          </cell>
          <cell r="E937">
            <v>4</v>
          </cell>
          <cell r="F937">
            <v>2.62873E-2</v>
          </cell>
        </row>
        <row r="938">
          <cell r="B938" t="str">
            <v>N/A</v>
          </cell>
          <cell r="E938">
            <v>4</v>
          </cell>
          <cell r="F938">
            <v>1.411392E-2</v>
          </cell>
        </row>
        <row r="939">
          <cell r="B939" t="str">
            <v>N/A</v>
          </cell>
          <cell r="E939">
            <v>4</v>
          </cell>
          <cell r="F939">
            <v>3.3401799999999999E-3</v>
          </cell>
        </row>
        <row r="940">
          <cell r="B940" t="str">
            <v>N/A</v>
          </cell>
          <cell r="E940">
            <v>4</v>
          </cell>
          <cell r="F940">
            <v>2.8720840000000001E-2</v>
          </cell>
        </row>
        <row r="941">
          <cell r="B941" t="str">
            <v>N/A</v>
          </cell>
          <cell r="E941">
            <v>4</v>
          </cell>
          <cell r="F941">
            <v>4.8337950000000001E-3</v>
          </cell>
        </row>
        <row r="942">
          <cell r="B942" t="str">
            <v>N/A</v>
          </cell>
          <cell r="E942">
            <v>4</v>
          </cell>
          <cell r="F942">
            <v>4.7706720000000001E-3</v>
          </cell>
        </row>
        <row r="943">
          <cell r="B943" t="str">
            <v>N/A</v>
          </cell>
          <cell r="E943">
            <v>4</v>
          </cell>
          <cell r="F943">
            <v>2.7889780000000001E-3</v>
          </cell>
        </row>
        <row r="944">
          <cell r="B944" t="str">
            <v>N/A</v>
          </cell>
          <cell r="E944">
            <v>4</v>
          </cell>
          <cell r="F944">
            <v>7.5803499999999996E-3</v>
          </cell>
        </row>
        <row r="945">
          <cell r="B945" t="str">
            <v>N/A</v>
          </cell>
          <cell r="E945">
            <v>4</v>
          </cell>
          <cell r="F945">
            <v>1.1557400000000001E-2</v>
          </cell>
        </row>
        <row r="946">
          <cell r="B946" t="str">
            <v>N/A</v>
          </cell>
          <cell r="E946">
            <v>4</v>
          </cell>
          <cell r="F946">
            <v>2.849028E-2</v>
          </cell>
        </row>
        <row r="947">
          <cell r="B947" t="str">
            <v>N/A</v>
          </cell>
          <cell r="E947">
            <v>4</v>
          </cell>
          <cell r="F947">
            <v>5.7465979999999999E-4</v>
          </cell>
        </row>
        <row r="948">
          <cell r="B948" t="str">
            <v>N/A</v>
          </cell>
          <cell r="E948">
            <v>4</v>
          </cell>
          <cell r="F948">
            <v>2.1441849999999998E-3</v>
          </cell>
        </row>
        <row r="949">
          <cell r="B949" t="str">
            <v>N/A</v>
          </cell>
          <cell r="E949">
            <v>4</v>
          </cell>
          <cell r="F949">
            <v>1.1122860000000001E-3</v>
          </cell>
        </row>
        <row r="950">
          <cell r="B950" t="str">
            <v>N/A</v>
          </cell>
          <cell r="E950">
            <v>4</v>
          </cell>
          <cell r="F950">
            <v>2.30606E-3</v>
          </cell>
        </row>
        <row r="951">
          <cell r="B951" t="str">
            <v>N/A</v>
          </cell>
          <cell r="E951">
            <v>4</v>
          </cell>
          <cell r="F951">
            <v>1.1938999999999999E-3</v>
          </cell>
        </row>
        <row r="952">
          <cell r="B952" t="str">
            <v>N/A</v>
          </cell>
          <cell r="E952">
            <v>4</v>
          </cell>
          <cell r="F952">
            <v>2.768234E-2</v>
          </cell>
        </row>
        <row r="953">
          <cell r="B953" t="str">
            <v>N/A</v>
          </cell>
          <cell r="E953">
            <v>4</v>
          </cell>
          <cell r="F953">
            <v>0.12865499999999999</v>
          </cell>
        </row>
        <row r="954">
          <cell r="B954" t="str">
            <v>N/A</v>
          </cell>
          <cell r="E954">
            <v>4</v>
          </cell>
          <cell r="F954">
            <v>3.4458219999999999E-3</v>
          </cell>
        </row>
        <row r="955">
          <cell r="B955" t="str">
            <v>N/A</v>
          </cell>
          <cell r="E955">
            <v>4</v>
          </cell>
          <cell r="F955">
            <v>4.0310729999999996E-3</v>
          </cell>
        </row>
        <row r="956">
          <cell r="B956" t="str">
            <v>N/A</v>
          </cell>
          <cell r="E956">
            <v>4</v>
          </cell>
          <cell r="F956">
            <v>1.6483609999999999E-2</v>
          </cell>
        </row>
        <row r="957">
          <cell r="B957" t="str">
            <v>N/A</v>
          </cell>
          <cell r="E957">
            <v>4</v>
          </cell>
          <cell r="F957">
            <v>3.2215939999999999E-3</v>
          </cell>
        </row>
        <row r="958">
          <cell r="B958" t="str">
            <v>N/A</v>
          </cell>
          <cell r="E958">
            <v>4</v>
          </cell>
          <cell r="F958">
            <v>2.9309190000000001E-3</v>
          </cell>
        </row>
        <row r="959">
          <cell r="B959" t="str">
            <v>N/A</v>
          </cell>
          <cell r="E959">
            <v>4</v>
          </cell>
          <cell r="F959">
            <v>2.6404200000000001E-3</v>
          </cell>
        </row>
        <row r="960">
          <cell r="B960" t="str">
            <v>N/A</v>
          </cell>
          <cell r="E960">
            <v>4</v>
          </cell>
          <cell r="F960">
            <v>5.2268699999999998E-3</v>
          </cell>
        </row>
        <row r="961">
          <cell r="B961" t="str">
            <v>N/A</v>
          </cell>
          <cell r="E961">
            <v>4</v>
          </cell>
          <cell r="F961">
            <v>3.406348E-3</v>
          </cell>
        </row>
        <row r="962">
          <cell r="B962" t="str">
            <v>N/A</v>
          </cell>
          <cell r="E962">
            <v>4</v>
          </cell>
          <cell r="F962">
            <v>3.893288E-3</v>
          </cell>
        </row>
        <row r="963">
          <cell r="B963" t="str">
            <v>N/A</v>
          </cell>
          <cell r="E963">
            <v>4</v>
          </cell>
          <cell r="F963">
            <v>4.3798709999999996E-3</v>
          </cell>
        </row>
        <row r="964">
          <cell r="B964" t="str">
            <v>N/A</v>
          </cell>
          <cell r="E964">
            <v>4</v>
          </cell>
          <cell r="F964">
            <v>4.7478800000000003E-3</v>
          </cell>
        </row>
        <row r="965">
          <cell r="B965" t="str">
            <v>N/A</v>
          </cell>
          <cell r="E965">
            <v>4</v>
          </cell>
          <cell r="F965">
            <v>6.0493329999999998E-2</v>
          </cell>
        </row>
        <row r="966">
          <cell r="B966" t="str">
            <v>N/A</v>
          </cell>
          <cell r="E966">
            <v>4</v>
          </cell>
          <cell r="F966">
            <v>5.6678980000000002E-3</v>
          </cell>
        </row>
        <row r="967">
          <cell r="B967" t="str">
            <v>N/A</v>
          </cell>
          <cell r="E967">
            <v>4</v>
          </cell>
          <cell r="F967">
            <v>1.7260229999999999E-3</v>
          </cell>
        </row>
        <row r="968">
          <cell r="B968" t="str">
            <v>N/A</v>
          </cell>
          <cell r="E968">
            <v>4</v>
          </cell>
          <cell r="F968">
            <v>3.2077590000000001E-3</v>
          </cell>
        </row>
        <row r="969">
          <cell r="B969" t="str">
            <v>N/A</v>
          </cell>
          <cell r="E969">
            <v>4</v>
          </cell>
          <cell r="F969">
            <v>3.4241840000000003E-2</v>
          </cell>
        </row>
        <row r="970">
          <cell r="B970" t="str">
            <v>N/A</v>
          </cell>
          <cell r="E970">
            <v>4</v>
          </cell>
          <cell r="F970">
            <v>1.8275059999999999E-2</v>
          </cell>
        </row>
        <row r="971">
          <cell r="B971" t="str">
            <v>N/A</v>
          </cell>
          <cell r="E971">
            <v>4</v>
          </cell>
          <cell r="F971">
            <v>4.2207130000000001E-3</v>
          </cell>
        </row>
        <row r="972">
          <cell r="B972" t="str">
            <v>N/A</v>
          </cell>
          <cell r="E972">
            <v>4</v>
          </cell>
          <cell r="F972">
            <v>1.201441E-2</v>
          </cell>
        </row>
        <row r="973">
          <cell r="B973" t="str">
            <v>N/A</v>
          </cell>
          <cell r="E973">
            <v>4</v>
          </cell>
          <cell r="F973">
            <v>2.9383490000000002E-2</v>
          </cell>
        </row>
        <row r="974">
          <cell r="B974" t="str">
            <v>N/A</v>
          </cell>
          <cell r="E974">
            <v>4</v>
          </cell>
          <cell r="F974">
            <v>4.0951750000000004E-3</v>
          </cell>
        </row>
        <row r="975">
          <cell r="B975" t="str">
            <v>N/A</v>
          </cell>
          <cell r="E975">
            <v>4</v>
          </cell>
          <cell r="F975">
            <v>4.530882E-3</v>
          </cell>
        </row>
        <row r="976">
          <cell r="B976" t="str">
            <v>N/A</v>
          </cell>
          <cell r="E976">
            <v>4</v>
          </cell>
          <cell r="F976">
            <v>1.6719069999999999E-2</v>
          </cell>
        </row>
        <row r="977">
          <cell r="B977" t="str">
            <v>N/A</v>
          </cell>
          <cell r="E977">
            <v>4</v>
          </cell>
          <cell r="F977">
            <v>1.62303E-2</v>
          </cell>
        </row>
        <row r="978">
          <cell r="B978" t="str">
            <v>N/A</v>
          </cell>
          <cell r="E978">
            <v>4</v>
          </cell>
          <cell r="F978">
            <v>1.714602E-3</v>
          </cell>
        </row>
        <row r="979">
          <cell r="B979" t="str">
            <v>N/A</v>
          </cell>
          <cell r="E979">
            <v>4</v>
          </cell>
          <cell r="F979">
            <v>3.210465E-3</v>
          </cell>
        </row>
        <row r="980">
          <cell r="B980" t="str">
            <v>N/A</v>
          </cell>
          <cell r="E980">
            <v>4</v>
          </cell>
          <cell r="F980">
            <v>3.3662850000000001E-3</v>
          </cell>
        </row>
        <row r="981">
          <cell r="B981" t="str">
            <v>N/A</v>
          </cell>
          <cell r="E981">
            <v>4</v>
          </cell>
          <cell r="F981">
            <v>5.3307069999999996E-3</v>
          </cell>
        </row>
        <row r="982">
          <cell r="B982" t="str">
            <v>N/A</v>
          </cell>
          <cell r="E982">
            <v>4</v>
          </cell>
          <cell r="F982">
            <v>4.9731829999999999E-3</v>
          </cell>
        </row>
        <row r="983">
          <cell r="B983" t="str">
            <v>N/A</v>
          </cell>
          <cell r="E983">
            <v>4</v>
          </cell>
          <cell r="F983">
            <v>1.295605E-3</v>
          </cell>
        </row>
        <row r="984">
          <cell r="B984" t="str">
            <v>N/A</v>
          </cell>
          <cell r="E984">
            <v>4</v>
          </cell>
          <cell r="F984">
            <v>1.13992E-3</v>
          </cell>
        </row>
        <row r="985">
          <cell r="B985" t="str">
            <v>N/A</v>
          </cell>
          <cell r="E985">
            <v>4</v>
          </cell>
          <cell r="F985">
            <v>1.4868610000000001E-2</v>
          </cell>
        </row>
        <row r="986">
          <cell r="B986" t="str">
            <v>N/A</v>
          </cell>
          <cell r="E986">
            <v>4</v>
          </cell>
          <cell r="F986">
            <v>8.5328460000000004E-4</v>
          </cell>
        </row>
        <row r="987">
          <cell r="B987" t="str">
            <v>N/A</v>
          </cell>
          <cell r="E987">
            <v>4</v>
          </cell>
          <cell r="F987">
            <v>3.9865380000000004E-3</v>
          </cell>
        </row>
        <row r="988">
          <cell r="B988" t="str">
            <v>N/A</v>
          </cell>
          <cell r="E988">
            <v>4</v>
          </cell>
          <cell r="F988">
            <v>5.2702359999999997E-2</v>
          </cell>
        </row>
        <row r="989">
          <cell r="B989" t="str">
            <v>N/A</v>
          </cell>
          <cell r="E989">
            <v>4</v>
          </cell>
          <cell r="F989">
            <v>6.6020209999999996E-2</v>
          </cell>
        </row>
        <row r="990">
          <cell r="B990" t="str">
            <v>N/A</v>
          </cell>
          <cell r="E990">
            <v>4</v>
          </cell>
          <cell r="F990">
            <v>2.2281760000000001E-2</v>
          </cell>
        </row>
        <row r="991">
          <cell r="B991" t="str">
            <v>N/A</v>
          </cell>
          <cell r="E991">
            <v>4</v>
          </cell>
          <cell r="F991">
            <v>5.0582479999999999E-2</v>
          </cell>
        </row>
        <row r="992">
          <cell r="B992" t="str">
            <v>N/A</v>
          </cell>
          <cell r="E992">
            <v>4</v>
          </cell>
          <cell r="F992">
            <v>1.7345849999999999E-2</v>
          </cell>
        </row>
        <row r="993">
          <cell r="B993" t="str">
            <v>N/A</v>
          </cell>
          <cell r="E993">
            <v>4</v>
          </cell>
          <cell r="F993">
            <v>3.5947380000000001E-3</v>
          </cell>
        </row>
        <row r="994">
          <cell r="B994" t="str">
            <v>N/A</v>
          </cell>
          <cell r="E994">
            <v>4</v>
          </cell>
          <cell r="F994">
            <v>3.8575739999999999E-3</v>
          </cell>
        </row>
        <row r="995">
          <cell r="B995" t="str">
            <v>N/A</v>
          </cell>
          <cell r="E995">
            <v>4</v>
          </cell>
          <cell r="F995">
            <v>2.6597819999999999E-3</v>
          </cell>
        </row>
        <row r="996">
          <cell r="B996" t="str">
            <v>N/A</v>
          </cell>
          <cell r="E996">
            <v>4</v>
          </cell>
          <cell r="F996">
            <v>4.2792139999999999E-3</v>
          </cell>
        </row>
        <row r="997">
          <cell r="B997" t="str">
            <v>N/A</v>
          </cell>
          <cell r="E997">
            <v>4</v>
          </cell>
          <cell r="F997">
            <v>4.050204E-3</v>
          </cell>
        </row>
        <row r="998">
          <cell r="B998" t="str">
            <v>N/A</v>
          </cell>
          <cell r="E998">
            <v>4</v>
          </cell>
          <cell r="F998">
            <v>3.7177209999999998E-3</v>
          </cell>
        </row>
        <row r="999">
          <cell r="B999" t="str">
            <v>N/A</v>
          </cell>
          <cell r="E999">
            <v>4</v>
          </cell>
          <cell r="F999">
            <v>2.5006219999999999E-2</v>
          </cell>
        </row>
        <row r="1000">
          <cell r="B1000" t="str">
            <v>N/A</v>
          </cell>
          <cell r="E1000">
            <v>4</v>
          </cell>
          <cell r="F1000">
            <v>4.6350949999999998E-4</v>
          </cell>
        </row>
        <row r="1001">
          <cell r="B1001" t="str">
            <v>N/A</v>
          </cell>
          <cell r="E1001">
            <v>4</v>
          </cell>
          <cell r="F1001">
            <v>2.4973869999999998E-3</v>
          </cell>
        </row>
        <row r="1002">
          <cell r="B1002" t="str">
            <v>N/A</v>
          </cell>
          <cell r="E1002">
            <v>4</v>
          </cell>
          <cell r="F1002">
            <v>8.2376629999999992E-3</v>
          </cell>
        </row>
        <row r="1003">
          <cell r="B1003" t="str">
            <v>N/A</v>
          </cell>
          <cell r="E1003">
            <v>4</v>
          </cell>
          <cell r="F1003">
            <v>7.0314290000000002E-2</v>
          </cell>
        </row>
        <row r="1004">
          <cell r="B1004" t="str">
            <v>N/A</v>
          </cell>
          <cell r="E1004">
            <v>4</v>
          </cell>
          <cell r="F1004">
            <v>1.8211069999999999E-2</v>
          </cell>
        </row>
        <row r="1005">
          <cell r="B1005" t="str">
            <v>N/A</v>
          </cell>
          <cell r="E1005">
            <v>4</v>
          </cell>
          <cell r="F1005">
            <v>6.3832990000000006E-2</v>
          </cell>
        </row>
        <row r="1006">
          <cell r="B1006" t="str">
            <v>N/A</v>
          </cell>
          <cell r="E1006">
            <v>4</v>
          </cell>
          <cell r="F1006">
            <v>3.935043E-3</v>
          </cell>
        </row>
        <row r="1007">
          <cell r="B1007" t="str">
            <v>N/A</v>
          </cell>
          <cell r="E1007">
            <v>4</v>
          </cell>
          <cell r="F1007">
            <v>1.562999E-2</v>
          </cell>
        </row>
        <row r="1008">
          <cell r="B1008" t="str">
            <v>N/A</v>
          </cell>
          <cell r="E1008">
            <v>4</v>
          </cell>
          <cell r="F1008">
            <v>6.269513E-3</v>
          </cell>
        </row>
        <row r="1009">
          <cell r="B1009" t="str">
            <v>N/A</v>
          </cell>
          <cell r="E1009">
            <v>4</v>
          </cell>
          <cell r="F1009">
            <v>6.2141679999999998E-2</v>
          </cell>
        </row>
        <row r="1010">
          <cell r="B1010" t="str">
            <v>Abandoned Railroad</v>
          </cell>
          <cell r="E1010">
            <v>4</v>
          </cell>
          <cell r="F1010">
            <v>9.4558450000000002E-2</v>
          </cell>
        </row>
        <row r="1011">
          <cell r="B1011" t="str">
            <v>Abandoned Railroad</v>
          </cell>
          <cell r="E1011">
            <v>4</v>
          </cell>
          <cell r="F1011">
            <v>2.0600650000000002E-2</v>
          </cell>
        </row>
        <row r="1012">
          <cell r="B1012" t="str">
            <v>BNSF</v>
          </cell>
          <cell r="E1012">
            <v>4</v>
          </cell>
          <cell r="F1012">
            <v>1.8197230000000001E-5</v>
          </cell>
        </row>
        <row r="1013">
          <cell r="B1013" t="str">
            <v>BNSF</v>
          </cell>
          <cell r="E1013">
            <v>4</v>
          </cell>
          <cell r="F1013">
            <v>3.4524500000000001E-3</v>
          </cell>
        </row>
        <row r="1014">
          <cell r="B1014" t="str">
            <v>BNSF</v>
          </cell>
          <cell r="E1014">
            <v>4</v>
          </cell>
          <cell r="F1014">
            <v>0.23455429999999999</v>
          </cell>
        </row>
        <row r="1015">
          <cell r="B1015" t="str">
            <v>BNSF</v>
          </cell>
          <cell r="E1015">
            <v>4</v>
          </cell>
          <cell r="F1015">
            <v>0.56666709999999998</v>
          </cell>
        </row>
        <row r="1016">
          <cell r="B1016" t="str">
            <v>BNSF</v>
          </cell>
          <cell r="E1016">
            <v>4</v>
          </cell>
          <cell r="F1016">
            <v>0.28511589999999998</v>
          </cell>
        </row>
        <row r="1017">
          <cell r="B1017" t="str">
            <v>BNSF</v>
          </cell>
          <cell r="E1017">
            <v>4</v>
          </cell>
          <cell r="F1017">
            <v>7.306089E-3</v>
          </cell>
        </row>
        <row r="1018">
          <cell r="B1018" t="str">
            <v>BNSF</v>
          </cell>
          <cell r="E1018">
            <v>4</v>
          </cell>
          <cell r="F1018">
            <v>0.13082540000000001</v>
          </cell>
        </row>
        <row r="1019">
          <cell r="B1019" t="str">
            <v>BNSF</v>
          </cell>
          <cell r="E1019">
            <v>4</v>
          </cell>
          <cell r="F1019">
            <v>1.8640540000000001E-2</v>
          </cell>
        </row>
        <row r="1020">
          <cell r="B1020" t="str">
            <v>BNSF</v>
          </cell>
          <cell r="E1020">
            <v>4</v>
          </cell>
          <cell r="F1020">
            <v>6.5043119999999999E-4</v>
          </cell>
        </row>
        <row r="1021">
          <cell r="B1021" t="str">
            <v>BNSF</v>
          </cell>
          <cell r="E1021">
            <v>4</v>
          </cell>
          <cell r="F1021">
            <v>1.1769700000000001E-3</v>
          </cell>
        </row>
        <row r="1022">
          <cell r="B1022" t="str">
            <v>BNSF</v>
          </cell>
          <cell r="E1022">
            <v>4</v>
          </cell>
          <cell r="F1022">
            <v>7.5201870000000002E-3</v>
          </cell>
        </row>
        <row r="1023">
          <cell r="B1023" t="str">
            <v>BNSF</v>
          </cell>
          <cell r="E1023">
            <v>4</v>
          </cell>
          <cell r="F1023">
            <v>1.38674E-3</v>
          </cell>
        </row>
        <row r="1024">
          <cell r="B1024" t="str">
            <v>BNSF</v>
          </cell>
          <cell r="E1024">
            <v>4</v>
          </cell>
          <cell r="F1024">
            <v>1.5847929999999999E-3</v>
          </cell>
        </row>
        <row r="1025">
          <cell r="B1025" t="str">
            <v>BNSF</v>
          </cell>
          <cell r="E1025">
            <v>4</v>
          </cell>
          <cell r="F1025">
            <v>5.4004169999999998E-5</v>
          </cell>
        </row>
        <row r="1026">
          <cell r="B1026" t="str">
            <v>BNSF</v>
          </cell>
          <cell r="E1026">
            <v>4</v>
          </cell>
          <cell r="F1026">
            <v>2.1782099999999999E-3</v>
          </cell>
        </row>
        <row r="1027">
          <cell r="B1027" t="str">
            <v>BNSF</v>
          </cell>
          <cell r="E1027">
            <v>4</v>
          </cell>
          <cell r="F1027">
            <v>4.0505740000000004E-3</v>
          </cell>
        </row>
        <row r="1028">
          <cell r="B1028" t="str">
            <v>BNSF</v>
          </cell>
          <cell r="E1028">
            <v>4</v>
          </cell>
          <cell r="F1028">
            <v>0.1139488</v>
          </cell>
        </row>
        <row r="1029">
          <cell r="B1029" t="str">
            <v>BNSF</v>
          </cell>
          <cell r="E1029">
            <v>4</v>
          </cell>
          <cell r="F1029">
            <v>2.8920330000000001E-2</v>
          </cell>
        </row>
        <row r="1030">
          <cell r="B1030" t="str">
            <v>BNSF</v>
          </cell>
          <cell r="E1030">
            <v>4</v>
          </cell>
          <cell r="F1030">
            <v>5.1979190000000001E-4</v>
          </cell>
        </row>
        <row r="1031">
          <cell r="B1031" t="str">
            <v>BNSF</v>
          </cell>
          <cell r="E1031">
            <v>4</v>
          </cell>
          <cell r="F1031">
            <v>2.23778E-3</v>
          </cell>
        </row>
        <row r="1032">
          <cell r="B1032" t="str">
            <v>BNSF</v>
          </cell>
          <cell r="E1032">
            <v>4</v>
          </cell>
          <cell r="F1032">
            <v>3.9559840000000001E-3</v>
          </cell>
        </row>
        <row r="1033">
          <cell r="B1033" t="str">
            <v>BNSF</v>
          </cell>
          <cell r="E1033">
            <v>4</v>
          </cell>
          <cell r="F1033">
            <v>7.4894260000000004E-4</v>
          </cell>
        </row>
        <row r="1034">
          <cell r="B1034" t="str">
            <v>BNSF</v>
          </cell>
          <cell r="E1034">
            <v>4</v>
          </cell>
          <cell r="F1034">
            <v>1.856218E-3</v>
          </cell>
        </row>
        <row r="1035">
          <cell r="B1035" t="str">
            <v>BNSF</v>
          </cell>
          <cell r="E1035">
            <v>4</v>
          </cell>
          <cell r="F1035">
            <v>5.6085379999999997E-3</v>
          </cell>
        </row>
        <row r="1036">
          <cell r="B1036" t="str">
            <v>BNSF</v>
          </cell>
          <cell r="E1036">
            <v>4</v>
          </cell>
          <cell r="F1036">
            <v>1.593648E-3</v>
          </cell>
        </row>
        <row r="1037">
          <cell r="B1037" t="str">
            <v>BNSF</v>
          </cell>
          <cell r="E1037">
            <v>4</v>
          </cell>
          <cell r="F1037">
            <v>1.9771049999999998E-3</v>
          </cell>
        </row>
        <row r="1038">
          <cell r="B1038" t="str">
            <v>BNSF</v>
          </cell>
          <cell r="E1038">
            <v>4</v>
          </cell>
          <cell r="F1038">
            <v>2.1887579999999998E-3</v>
          </cell>
        </row>
        <row r="1039">
          <cell r="B1039" t="str">
            <v>BNSF</v>
          </cell>
          <cell r="E1039">
            <v>4</v>
          </cell>
          <cell r="F1039">
            <v>4.9065879999999999E-4</v>
          </cell>
        </row>
        <row r="1040">
          <cell r="B1040" t="str">
            <v>BNSF</v>
          </cell>
          <cell r="E1040">
            <v>4</v>
          </cell>
          <cell r="F1040">
            <v>2.9887350000000002E-3</v>
          </cell>
        </row>
        <row r="1041">
          <cell r="B1041" t="str">
            <v>BNSF</v>
          </cell>
          <cell r="E1041">
            <v>4</v>
          </cell>
          <cell r="F1041">
            <v>1.290589E-3</v>
          </cell>
        </row>
        <row r="1042">
          <cell r="B1042" t="str">
            <v>BNSF</v>
          </cell>
          <cell r="E1042">
            <v>4</v>
          </cell>
          <cell r="F1042">
            <v>3.7887070000000001E-3</v>
          </cell>
        </row>
        <row r="1043">
          <cell r="B1043" t="str">
            <v>BNSF</v>
          </cell>
          <cell r="E1043">
            <v>4</v>
          </cell>
          <cell r="F1043">
            <v>4.195954E-3</v>
          </cell>
        </row>
        <row r="1044">
          <cell r="B1044" t="str">
            <v>BNSF</v>
          </cell>
          <cell r="E1044">
            <v>4</v>
          </cell>
          <cell r="F1044">
            <v>3.0030759999999999E-3</v>
          </cell>
        </row>
        <row r="1045">
          <cell r="B1045" t="str">
            <v>BNSF</v>
          </cell>
          <cell r="E1045">
            <v>4</v>
          </cell>
          <cell r="F1045">
            <v>4.195954E-3</v>
          </cell>
        </row>
        <row r="1046">
          <cell r="B1046" t="str">
            <v>BNSF</v>
          </cell>
          <cell r="E1046">
            <v>4</v>
          </cell>
          <cell r="F1046">
            <v>2.203099E-3</v>
          </cell>
        </row>
        <row r="1047">
          <cell r="B1047" t="str">
            <v>BNSF</v>
          </cell>
          <cell r="E1047">
            <v>4</v>
          </cell>
          <cell r="F1047">
            <v>1.403081E-3</v>
          </cell>
        </row>
        <row r="1048">
          <cell r="B1048" t="str">
            <v>BNSF</v>
          </cell>
          <cell r="E1048">
            <v>4</v>
          </cell>
          <cell r="F1048">
            <v>6.0292820000000004E-4</v>
          </cell>
        </row>
        <row r="1049">
          <cell r="B1049" t="str">
            <v>BNSF</v>
          </cell>
          <cell r="E1049">
            <v>4</v>
          </cell>
          <cell r="F1049">
            <v>2.30094E-3</v>
          </cell>
        </row>
        <row r="1050">
          <cell r="B1050" t="str">
            <v>BNSF</v>
          </cell>
          <cell r="E1050">
            <v>4</v>
          </cell>
          <cell r="F1050">
            <v>7.0116619999999999E-4</v>
          </cell>
        </row>
        <row r="1051">
          <cell r="B1051" t="str">
            <v>BNSF</v>
          </cell>
          <cell r="E1051">
            <v>4</v>
          </cell>
          <cell r="F1051">
            <v>1.5993349999999999E-3</v>
          </cell>
        </row>
        <row r="1052">
          <cell r="B1052" t="str">
            <v>BNSF</v>
          </cell>
          <cell r="E1052">
            <v>4</v>
          </cell>
          <cell r="F1052">
            <v>1.630552E-2</v>
          </cell>
        </row>
        <row r="1053">
          <cell r="B1053" t="str">
            <v>BNSF</v>
          </cell>
          <cell r="E1053">
            <v>4</v>
          </cell>
          <cell r="F1053">
            <v>1.2174340000000001E-2</v>
          </cell>
        </row>
        <row r="1054">
          <cell r="B1054" t="str">
            <v>BNSF</v>
          </cell>
          <cell r="E1054">
            <v>4</v>
          </cell>
          <cell r="F1054">
            <v>5.537986E-3</v>
          </cell>
        </row>
        <row r="1055">
          <cell r="B1055" t="str">
            <v>BNSF</v>
          </cell>
          <cell r="E1055">
            <v>4</v>
          </cell>
          <cell r="F1055">
            <v>2.8481389999999999E-2</v>
          </cell>
        </row>
        <row r="1056">
          <cell r="B1056" t="str">
            <v>BNSF</v>
          </cell>
          <cell r="E1056">
            <v>4</v>
          </cell>
          <cell r="F1056">
            <v>3.4421719999999999E-3</v>
          </cell>
        </row>
        <row r="1057">
          <cell r="B1057" t="str">
            <v>BNSF</v>
          </cell>
          <cell r="E1057">
            <v>4</v>
          </cell>
          <cell r="F1057">
            <v>1.0543690000000001E-3</v>
          </cell>
        </row>
        <row r="1058">
          <cell r="B1058" t="str">
            <v>BNSF</v>
          </cell>
          <cell r="E1058">
            <v>4</v>
          </cell>
          <cell r="F1058">
            <v>4.5554089999999998E-2</v>
          </cell>
        </row>
        <row r="1059">
          <cell r="B1059" t="str">
            <v>BNSF</v>
          </cell>
          <cell r="E1059">
            <v>4</v>
          </cell>
          <cell r="F1059">
            <v>7.7696030000000004E-4</v>
          </cell>
        </row>
        <row r="1060">
          <cell r="B1060" t="str">
            <v>BNSF</v>
          </cell>
          <cell r="E1060">
            <v>4</v>
          </cell>
          <cell r="F1060">
            <v>6.5667410000000001E-3</v>
          </cell>
        </row>
        <row r="1061">
          <cell r="B1061" t="str">
            <v>BNSF</v>
          </cell>
          <cell r="E1061">
            <v>4</v>
          </cell>
          <cell r="F1061">
            <v>6.5029579999999997E-3</v>
          </cell>
        </row>
        <row r="1062">
          <cell r="B1062" t="str">
            <v>BNSF</v>
          </cell>
          <cell r="E1062">
            <v>4</v>
          </cell>
          <cell r="F1062">
            <v>3.9328449999999999E-3</v>
          </cell>
        </row>
        <row r="1063">
          <cell r="B1063" t="str">
            <v>BNSF</v>
          </cell>
          <cell r="E1063">
            <v>4</v>
          </cell>
          <cell r="F1063">
            <v>6.3552920000000002E-3</v>
          </cell>
        </row>
        <row r="1064">
          <cell r="B1064" t="str">
            <v>BNSF</v>
          </cell>
          <cell r="E1064">
            <v>4</v>
          </cell>
          <cell r="F1064">
            <v>3.2833699999999999E-3</v>
          </cell>
        </row>
        <row r="1065">
          <cell r="B1065" t="str">
            <v>BNSF</v>
          </cell>
          <cell r="E1065">
            <v>4</v>
          </cell>
          <cell r="F1065">
            <v>3.2833110000000001E-3</v>
          </cell>
        </row>
        <row r="1066">
          <cell r="B1066" t="str">
            <v>BNSF</v>
          </cell>
          <cell r="E1066">
            <v>4</v>
          </cell>
          <cell r="F1066">
            <v>1.215065E-3</v>
          </cell>
        </row>
        <row r="1067">
          <cell r="B1067" t="str">
            <v>Union Pacific</v>
          </cell>
          <cell r="E1067">
            <v>4</v>
          </cell>
          <cell r="F1067">
            <v>0.15064420000000001</v>
          </cell>
        </row>
        <row r="1068">
          <cell r="B1068" t="str">
            <v>Union Pacific</v>
          </cell>
          <cell r="E1068">
            <v>4</v>
          </cell>
          <cell r="F1068">
            <v>0.77744630000000003</v>
          </cell>
        </row>
        <row r="1069">
          <cell r="B1069" t="str">
            <v>Union Pacific</v>
          </cell>
          <cell r="E1069">
            <v>4</v>
          </cell>
          <cell r="F1069">
            <v>1.9965210000000001E-2</v>
          </cell>
        </row>
        <row r="1070">
          <cell r="B1070" t="str">
            <v>Union Pacific</v>
          </cell>
          <cell r="E1070">
            <v>4</v>
          </cell>
          <cell r="F1070">
            <v>4.4144820000000001E-2</v>
          </cell>
        </row>
        <row r="1071">
          <cell r="B1071" t="str">
            <v>Union Pacific</v>
          </cell>
          <cell r="E1071">
            <v>4</v>
          </cell>
          <cell r="F1071">
            <v>2.9761050000000001E-2</v>
          </cell>
        </row>
        <row r="1072">
          <cell r="B1072" t="str">
            <v>Union Pacific</v>
          </cell>
          <cell r="E1072">
            <v>4</v>
          </cell>
          <cell r="F1072">
            <v>1.267942E-2</v>
          </cell>
        </row>
        <row r="1073">
          <cell r="B1073" t="str">
            <v>Union Pacific</v>
          </cell>
          <cell r="E1073">
            <v>4</v>
          </cell>
          <cell r="F1073">
            <v>1.9397609999999999E-2</v>
          </cell>
        </row>
        <row r="1074">
          <cell r="B1074" t="str">
            <v>Union Pacific</v>
          </cell>
          <cell r="E1074">
            <v>4</v>
          </cell>
          <cell r="F1074">
            <v>7.914417E-2</v>
          </cell>
        </row>
        <row r="1075">
          <cell r="B1075" t="str">
            <v>Union Pacific</v>
          </cell>
          <cell r="E1075">
            <v>4</v>
          </cell>
          <cell r="F1075">
            <v>3.9620669999999997E-3</v>
          </cell>
        </row>
        <row r="1076">
          <cell r="B1076" t="str">
            <v>Union Pacific</v>
          </cell>
          <cell r="E1076">
            <v>4</v>
          </cell>
          <cell r="F1076">
            <v>3.9621910000000003E-3</v>
          </cell>
        </row>
        <row r="1077">
          <cell r="B1077" t="str">
            <v>Union Pacific</v>
          </cell>
          <cell r="E1077">
            <v>4</v>
          </cell>
          <cell r="F1077">
            <v>3.9621910000000003E-3</v>
          </cell>
        </row>
        <row r="1078">
          <cell r="B1078" t="str">
            <v>Union Pacific</v>
          </cell>
          <cell r="E1078">
            <v>4</v>
          </cell>
          <cell r="F1078">
            <v>5.9233159999999997E-3</v>
          </cell>
        </row>
        <row r="1079">
          <cell r="B1079" t="str">
            <v>Union Pacific</v>
          </cell>
          <cell r="E1079">
            <v>4</v>
          </cell>
          <cell r="F1079">
            <v>2.5184000000000002E-2</v>
          </cell>
        </row>
        <row r="1080">
          <cell r="B1080" t="str">
            <v>Union Pacific</v>
          </cell>
          <cell r="E1080">
            <v>4</v>
          </cell>
          <cell r="F1080">
            <v>0.11528629999999999</v>
          </cell>
        </row>
        <row r="1081">
          <cell r="B1081" t="str">
            <v>Union Pacific</v>
          </cell>
          <cell r="E1081">
            <v>4</v>
          </cell>
          <cell r="F1081">
            <v>0.1780303</v>
          </cell>
        </row>
        <row r="1082">
          <cell r="B1082" t="str">
            <v>Union Pacific</v>
          </cell>
          <cell r="E1082">
            <v>4</v>
          </cell>
          <cell r="F1082">
            <v>4.4529800000000001E-2</v>
          </cell>
        </row>
        <row r="1083">
          <cell r="B1083" t="str">
            <v>Union Pacific</v>
          </cell>
          <cell r="E1083">
            <v>4</v>
          </cell>
          <cell r="F1083">
            <v>1.476909E-3</v>
          </cell>
        </row>
        <row r="1084">
          <cell r="B1084" t="str">
            <v>Union Pacific</v>
          </cell>
          <cell r="E1084">
            <v>4</v>
          </cell>
          <cell r="F1084">
            <v>0.2719723</v>
          </cell>
        </row>
        <row r="1085">
          <cell r="B1085" t="str">
            <v>Union Pacific</v>
          </cell>
          <cell r="E1085">
            <v>4</v>
          </cell>
          <cell r="F1085">
            <v>1.148954E-3</v>
          </cell>
        </row>
        <row r="1086">
          <cell r="B1086" t="str">
            <v>Union Pacific</v>
          </cell>
          <cell r="E1086">
            <v>4</v>
          </cell>
          <cell r="F1086">
            <v>7.3175370000000005E-4</v>
          </cell>
        </row>
        <row r="1087">
          <cell r="B1087" t="str">
            <v>Union Pacific</v>
          </cell>
          <cell r="E1087">
            <v>4</v>
          </cell>
          <cell r="F1087">
            <v>0.38382539999999998</v>
          </cell>
        </row>
        <row r="1088">
          <cell r="B1088" t="str">
            <v>Union Pacific</v>
          </cell>
          <cell r="E1088">
            <v>4</v>
          </cell>
          <cell r="F1088">
            <v>0.1069167</v>
          </cell>
        </row>
        <row r="1089">
          <cell r="B1089" t="str">
            <v>Union Pacific</v>
          </cell>
          <cell r="E1089">
            <v>4</v>
          </cell>
          <cell r="F1089">
            <v>5.5618649999999999E-2</v>
          </cell>
        </row>
        <row r="1090">
          <cell r="B1090" t="str">
            <v>Union Pacific</v>
          </cell>
          <cell r="E1090">
            <v>4</v>
          </cell>
          <cell r="F1090">
            <v>1.542542E-3</v>
          </cell>
        </row>
        <row r="1091">
          <cell r="B1091" t="str">
            <v>Union Pacific</v>
          </cell>
          <cell r="E1091">
            <v>4</v>
          </cell>
          <cell r="F1091">
            <v>1.234325E-2</v>
          </cell>
        </row>
        <row r="1092">
          <cell r="B1092" t="str">
            <v>Union Pacific</v>
          </cell>
          <cell r="E1092">
            <v>4</v>
          </cell>
          <cell r="F1092">
            <v>2.7134059999999998E-3</v>
          </cell>
        </row>
        <row r="1093">
          <cell r="B1093" t="str">
            <v>Union Pacific</v>
          </cell>
          <cell r="E1093">
            <v>4</v>
          </cell>
          <cell r="F1093">
            <v>3.007696E-2</v>
          </cell>
        </row>
        <row r="1094">
          <cell r="B1094" t="str">
            <v>Union Pacific</v>
          </cell>
          <cell r="E1094">
            <v>4</v>
          </cell>
          <cell r="F1094">
            <v>1.073835E-3</v>
          </cell>
        </row>
        <row r="1095">
          <cell r="B1095" t="str">
            <v>Union Pacific</v>
          </cell>
          <cell r="E1095">
            <v>4</v>
          </cell>
          <cell r="F1095">
            <v>1.2884530000000001E-4</v>
          </cell>
        </row>
        <row r="1096">
          <cell r="B1096" t="str">
            <v>Union Pacific</v>
          </cell>
          <cell r="E1096">
            <v>4</v>
          </cell>
          <cell r="F1096">
            <v>5.6989850000000002E-3</v>
          </cell>
        </row>
        <row r="1097">
          <cell r="B1097" t="str">
            <v>Union Pacific</v>
          </cell>
          <cell r="E1097">
            <v>4</v>
          </cell>
          <cell r="F1097">
            <v>3.124361E-3</v>
          </cell>
        </row>
        <row r="1098">
          <cell r="B1098" t="str">
            <v>Union Pacific</v>
          </cell>
          <cell r="E1098">
            <v>4</v>
          </cell>
          <cell r="F1098">
            <v>4.9441820000000001E-3</v>
          </cell>
        </row>
        <row r="1099">
          <cell r="B1099" t="str">
            <v>Union Pacific</v>
          </cell>
          <cell r="E1099">
            <v>4</v>
          </cell>
          <cell r="F1099">
            <v>3.124361E-3</v>
          </cell>
        </row>
        <row r="1100">
          <cell r="B1100" t="str">
            <v>Union Pacific</v>
          </cell>
          <cell r="E1100">
            <v>4</v>
          </cell>
          <cell r="F1100">
            <v>6.2279120000000004E-3</v>
          </cell>
        </row>
        <row r="1101">
          <cell r="B1101" t="str">
            <v>Union Pacific</v>
          </cell>
          <cell r="E1101">
            <v>4</v>
          </cell>
          <cell r="F1101">
            <v>4.5461260000000002E-3</v>
          </cell>
        </row>
        <row r="1102">
          <cell r="B1102" t="str">
            <v>Union Pacific</v>
          </cell>
          <cell r="E1102">
            <v>4</v>
          </cell>
          <cell r="F1102">
            <v>7.3286110000000005E-4</v>
          </cell>
        </row>
        <row r="1103">
          <cell r="B1103" t="str">
            <v>Union Pacific</v>
          </cell>
          <cell r="E1103">
            <v>4</v>
          </cell>
          <cell r="F1103">
            <v>9.0267950000000007E-3</v>
          </cell>
        </row>
        <row r="1104">
          <cell r="B1104" t="str">
            <v>Union Pacific</v>
          </cell>
          <cell r="E1104">
            <v>4</v>
          </cell>
          <cell r="F1104">
            <v>3.3292290000000002E-2</v>
          </cell>
        </row>
        <row r="1105">
          <cell r="B1105" t="str">
            <v>Union Pacific</v>
          </cell>
          <cell r="E1105">
            <v>4</v>
          </cell>
          <cell r="F1105">
            <v>3.191705E-3</v>
          </cell>
        </row>
        <row r="1106">
          <cell r="B1106" t="str">
            <v>Union Pacific</v>
          </cell>
          <cell r="E1106">
            <v>4</v>
          </cell>
          <cell r="F1106">
            <v>6.4642060000000001E-3</v>
          </cell>
        </row>
        <row r="1107">
          <cell r="B1107" t="str">
            <v>Union Pacific</v>
          </cell>
          <cell r="E1107">
            <v>4</v>
          </cell>
          <cell r="F1107">
            <v>8.3746610000000003E-3</v>
          </cell>
        </row>
        <row r="1108">
          <cell r="B1108" t="str">
            <v>Union Pacific</v>
          </cell>
          <cell r="E1108">
            <v>4</v>
          </cell>
          <cell r="F1108">
            <v>1.028486E-2</v>
          </cell>
        </row>
        <row r="1109">
          <cell r="B1109" t="str">
            <v>Union Pacific</v>
          </cell>
          <cell r="E1109">
            <v>4</v>
          </cell>
          <cell r="F1109">
            <v>2.6203070000000001E-3</v>
          </cell>
        </row>
        <row r="1110">
          <cell r="B1110" t="str">
            <v>Union Pacific</v>
          </cell>
          <cell r="E1110">
            <v>4</v>
          </cell>
          <cell r="F1110">
            <v>4.5304459999999996E-3</v>
          </cell>
        </row>
        <row r="1111">
          <cell r="B1111" t="str">
            <v>Union Pacific</v>
          </cell>
          <cell r="E1111">
            <v>4</v>
          </cell>
          <cell r="F1111">
            <v>5.7220720000000001E-5</v>
          </cell>
        </row>
        <row r="1112">
          <cell r="B1112" t="str">
            <v>Union Pacific</v>
          </cell>
          <cell r="E1112">
            <v>4</v>
          </cell>
          <cell r="F1112">
            <v>3.3114479999999998E-3</v>
          </cell>
        </row>
        <row r="1113">
          <cell r="B1113" t="str">
            <v>Union Pacific</v>
          </cell>
          <cell r="E1113">
            <v>4</v>
          </cell>
          <cell r="F1113">
            <v>7.6643670000000001E-3</v>
          </cell>
        </row>
        <row r="1114">
          <cell r="B1114" t="str">
            <v>Union Pacific</v>
          </cell>
          <cell r="E1114">
            <v>4</v>
          </cell>
          <cell r="F1114">
            <v>5.9983149999999997E-3</v>
          </cell>
        </row>
        <row r="1115">
          <cell r="B1115" t="str">
            <v>Union Pacific</v>
          </cell>
          <cell r="E1115">
            <v>4</v>
          </cell>
          <cell r="F1115">
            <v>1.693248E-2</v>
          </cell>
        </row>
        <row r="1116">
          <cell r="B1116" t="str">
            <v>Union Pacific</v>
          </cell>
          <cell r="E1116">
            <v>4</v>
          </cell>
          <cell r="F1116">
            <v>7.6227949999999999E-3</v>
          </cell>
        </row>
        <row r="1117">
          <cell r="B1117" t="str">
            <v>Union Pacific</v>
          </cell>
          <cell r="E1117">
            <v>4</v>
          </cell>
          <cell r="F1117">
            <v>9.2681689999999997E-3</v>
          </cell>
        </row>
        <row r="1118">
          <cell r="B1118" t="str">
            <v>Union Pacific</v>
          </cell>
          <cell r="E1118">
            <v>4</v>
          </cell>
          <cell r="F1118">
            <v>7.6020369999999999E-3</v>
          </cell>
        </row>
        <row r="1119">
          <cell r="B1119" t="str">
            <v>Union Pacific</v>
          </cell>
          <cell r="E1119">
            <v>4</v>
          </cell>
          <cell r="F1119">
            <v>6.6229549999999998E-3</v>
          </cell>
        </row>
        <row r="1120">
          <cell r="B1120" t="str">
            <v>Union Pacific</v>
          </cell>
          <cell r="E1120">
            <v>4</v>
          </cell>
          <cell r="F1120">
            <v>3.311507E-3</v>
          </cell>
        </row>
        <row r="1121">
          <cell r="B1121" t="str">
            <v>Union Pacific</v>
          </cell>
          <cell r="E1121">
            <v>4</v>
          </cell>
          <cell r="F1121">
            <v>3.3101519999999998E-3</v>
          </cell>
        </row>
        <row r="1122">
          <cell r="B1122" t="str">
            <v>Union Pacific</v>
          </cell>
          <cell r="E1122">
            <v>4</v>
          </cell>
          <cell r="F1122">
            <v>5.1628079999999996E-3</v>
          </cell>
        </row>
        <row r="1123">
          <cell r="B1123" t="str">
            <v>Union Pacific</v>
          </cell>
          <cell r="E1123">
            <v>4</v>
          </cell>
          <cell r="F1123">
            <v>4.4519250000000003E-2</v>
          </cell>
        </row>
        <row r="1124">
          <cell r="B1124" t="str">
            <v>Union Pacific</v>
          </cell>
          <cell r="E1124">
            <v>4</v>
          </cell>
          <cell r="F1124">
            <v>2.919011E-3</v>
          </cell>
        </row>
        <row r="1125">
          <cell r="B1125" t="str">
            <v>Union Pacific</v>
          </cell>
          <cell r="E1125">
            <v>4</v>
          </cell>
          <cell r="F1125">
            <v>4.1446809999999999E-3</v>
          </cell>
        </row>
        <row r="1126">
          <cell r="B1126" t="str">
            <v>Union Pacific</v>
          </cell>
          <cell r="E1126">
            <v>4</v>
          </cell>
          <cell r="F1126">
            <v>1.2311189999999999E-3</v>
          </cell>
        </row>
        <row r="1127">
          <cell r="B1127" t="str">
            <v>Union Pacific</v>
          </cell>
          <cell r="E1127">
            <v>4</v>
          </cell>
          <cell r="F1127">
            <v>2.4061220000000001E-3</v>
          </cell>
        </row>
        <row r="1128">
          <cell r="B1128" t="str">
            <v>Union Pacific</v>
          </cell>
          <cell r="E1128">
            <v>4</v>
          </cell>
          <cell r="F1128">
            <v>1.3073629999999999E-2</v>
          </cell>
        </row>
        <row r="1129">
          <cell r="B1129" t="str">
            <v>Union Pacific</v>
          </cell>
          <cell r="E1129">
            <v>4</v>
          </cell>
          <cell r="F1129">
            <v>5.7960579999999998E-3</v>
          </cell>
        </row>
        <row r="1130">
          <cell r="B1130" t="str">
            <v>Union Pacific</v>
          </cell>
          <cell r="E1130">
            <v>4</v>
          </cell>
          <cell r="F1130">
            <v>4.485074E-2</v>
          </cell>
        </row>
        <row r="1131">
          <cell r="B1131" t="str">
            <v>Union Pacific</v>
          </cell>
          <cell r="E1131">
            <v>4</v>
          </cell>
          <cell r="F1131">
            <v>1.204224E-3</v>
          </cell>
        </row>
        <row r="1132">
          <cell r="B1132" t="str">
            <v>Union Pacific</v>
          </cell>
          <cell r="E1132">
            <v>4</v>
          </cell>
          <cell r="F1132">
            <v>1.0490020000000001E-3</v>
          </cell>
        </row>
        <row r="1133">
          <cell r="B1133" t="str">
            <v>Union Pacific</v>
          </cell>
          <cell r="E1133">
            <v>4</v>
          </cell>
          <cell r="F1133">
            <v>3.5333620000000001E-4</v>
          </cell>
        </row>
        <row r="1134">
          <cell r="B1134" t="str">
            <v>Union Pacific</v>
          </cell>
          <cell r="E1134">
            <v>4</v>
          </cell>
          <cell r="F1134">
            <v>1.525812E-2</v>
          </cell>
        </row>
        <row r="1135">
          <cell r="B1135" t="str">
            <v>Union Pacific</v>
          </cell>
          <cell r="E1135">
            <v>4</v>
          </cell>
          <cell r="F1135">
            <v>7.4282740000000003E-3</v>
          </cell>
        </row>
        <row r="1136">
          <cell r="B1136" t="str">
            <v>Union Pacific</v>
          </cell>
          <cell r="E1136">
            <v>4</v>
          </cell>
          <cell r="F1136">
            <v>7.3024370000000005E-2</v>
          </cell>
        </row>
        <row r="1137">
          <cell r="B1137" t="str">
            <v>Union Pacific</v>
          </cell>
          <cell r="E1137">
            <v>4</v>
          </cell>
          <cell r="F1137">
            <v>2.421758E-3</v>
          </cell>
        </row>
        <row r="1138">
          <cell r="B1138" t="str">
            <v>Union Pacific</v>
          </cell>
          <cell r="E1138">
            <v>4</v>
          </cell>
          <cell r="F1138">
            <v>9.9824560000000007E-3</v>
          </cell>
        </row>
        <row r="1139">
          <cell r="B1139" t="str">
            <v>Union Pacific</v>
          </cell>
          <cell r="E1139">
            <v>4</v>
          </cell>
          <cell r="F1139">
            <v>3.6076469999999999E-3</v>
          </cell>
        </row>
        <row r="1140">
          <cell r="B1140" t="str">
            <v>Union Pacific</v>
          </cell>
          <cell r="E1140">
            <v>4</v>
          </cell>
          <cell r="F1140">
            <v>2.6580289999999999E-2</v>
          </cell>
        </row>
        <row r="1141">
          <cell r="B1141" t="str">
            <v>Union Pacific</v>
          </cell>
          <cell r="E1141">
            <v>4</v>
          </cell>
          <cell r="F1141">
            <v>2.327034E-3</v>
          </cell>
        </row>
        <row r="1142">
          <cell r="B1142" t="str">
            <v>Union Pacific</v>
          </cell>
          <cell r="E1142">
            <v>4</v>
          </cell>
          <cell r="F1142">
            <v>1.014602E-2</v>
          </cell>
        </row>
        <row r="1143">
          <cell r="B1143" t="str">
            <v>Union Pacific</v>
          </cell>
          <cell r="E1143">
            <v>4</v>
          </cell>
          <cell r="F1143">
            <v>1.108633E-2</v>
          </cell>
        </row>
        <row r="1144">
          <cell r="B1144" t="str">
            <v>Union Pacific</v>
          </cell>
          <cell r="E1144">
            <v>4</v>
          </cell>
          <cell r="F1144">
            <v>1.9137500000000002E-2</v>
          </cell>
        </row>
        <row r="1145">
          <cell r="B1145" t="str">
            <v>Union Pacific</v>
          </cell>
          <cell r="E1145">
            <v>4</v>
          </cell>
          <cell r="F1145">
            <v>5.2043660000000002E-3</v>
          </cell>
        </row>
        <row r="1146">
          <cell r="B1146" t="str">
            <v>Union Pacific</v>
          </cell>
          <cell r="E1146">
            <v>4</v>
          </cell>
          <cell r="F1146">
            <v>4.784394E-3</v>
          </cell>
        </row>
        <row r="1147">
          <cell r="B1147" t="str">
            <v>Union Pacific</v>
          </cell>
          <cell r="E1147">
            <v>4</v>
          </cell>
          <cell r="F1147">
            <v>3.3392539999999998E-3</v>
          </cell>
        </row>
        <row r="1148">
          <cell r="B1148" t="str">
            <v>Union Pacific</v>
          </cell>
          <cell r="E1148">
            <v>4</v>
          </cell>
          <cell r="F1148">
            <v>2.0879129999999998E-3</v>
          </cell>
        </row>
        <row r="1149">
          <cell r="B1149" t="str">
            <v>Union Pacific</v>
          </cell>
          <cell r="E1149">
            <v>4</v>
          </cell>
          <cell r="F1149">
            <v>3.5323669999999998E-3</v>
          </cell>
        </row>
        <row r="1150">
          <cell r="B1150" t="str">
            <v>Union Pacific</v>
          </cell>
          <cell r="E1150">
            <v>4</v>
          </cell>
          <cell r="F1150">
            <v>3.0680949999999999E-3</v>
          </cell>
        </row>
        <row r="1151">
          <cell r="B1151" t="str">
            <v>Union Pacific</v>
          </cell>
          <cell r="E1151">
            <v>4</v>
          </cell>
          <cell r="F1151">
            <v>9.2916439999999999E-3</v>
          </cell>
        </row>
        <row r="1152">
          <cell r="B1152" t="str">
            <v>Union Pacific</v>
          </cell>
          <cell r="E1152">
            <v>4</v>
          </cell>
          <cell r="F1152">
            <v>5.2156870000000001E-2</v>
          </cell>
        </row>
        <row r="1153">
          <cell r="B1153" t="str">
            <v>Union Pacific</v>
          </cell>
          <cell r="E1153">
            <v>4</v>
          </cell>
          <cell r="F1153">
            <v>9.3623460000000006E-3</v>
          </cell>
        </row>
        <row r="1154">
          <cell r="B1154" t="str">
            <v>Union Pacific</v>
          </cell>
          <cell r="E1154">
            <v>4</v>
          </cell>
          <cell r="F1154">
            <v>0.2240974</v>
          </cell>
        </row>
        <row r="1155">
          <cell r="B1155" t="str">
            <v>Union Pacific</v>
          </cell>
          <cell r="E1155">
            <v>4</v>
          </cell>
          <cell r="F1155">
            <v>8.2532090000000002E-2</v>
          </cell>
        </row>
        <row r="1156">
          <cell r="B1156" t="str">
            <v>Union Pacific</v>
          </cell>
          <cell r="E1156">
            <v>4</v>
          </cell>
          <cell r="F1156">
            <v>1.8262190000000001E-4</v>
          </cell>
        </row>
        <row r="1157">
          <cell r="B1157" t="str">
            <v>Union Pacific</v>
          </cell>
          <cell r="E1157">
            <v>4</v>
          </cell>
          <cell r="F1157">
            <v>1.466399E-3</v>
          </cell>
        </row>
        <row r="1158">
          <cell r="B1158" t="str">
            <v>Union Pacific</v>
          </cell>
          <cell r="E1158">
            <v>4</v>
          </cell>
          <cell r="F1158">
            <v>3.2083820000000001E-3</v>
          </cell>
        </row>
        <row r="1159">
          <cell r="B1159" t="str">
            <v>Union Pacific</v>
          </cell>
          <cell r="E1159">
            <v>4</v>
          </cell>
          <cell r="F1159">
            <v>1.0898780000000001E-3</v>
          </cell>
        </row>
        <row r="1160">
          <cell r="B1160" t="str">
            <v>Union Pacific</v>
          </cell>
          <cell r="E1160">
            <v>4</v>
          </cell>
          <cell r="F1160">
            <v>2.2676179999999999E-3</v>
          </cell>
        </row>
        <row r="1161">
          <cell r="B1161" t="str">
            <v>Union Pacific</v>
          </cell>
          <cell r="E1161">
            <v>4</v>
          </cell>
          <cell r="F1161">
            <v>1.49114E-4</v>
          </cell>
        </row>
        <row r="1162">
          <cell r="B1162" t="str">
            <v>Union Pacific</v>
          </cell>
          <cell r="E1162">
            <v>4</v>
          </cell>
          <cell r="F1162">
            <v>1.326912E-3</v>
          </cell>
        </row>
        <row r="1163">
          <cell r="B1163" t="str">
            <v>Union Pacific</v>
          </cell>
          <cell r="E1163">
            <v>4</v>
          </cell>
          <cell r="F1163">
            <v>2.9666519999999998E-2</v>
          </cell>
        </row>
        <row r="1164">
          <cell r="B1164" t="str">
            <v>Union Pacific</v>
          </cell>
          <cell r="E1164">
            <v>4</v>
          </cell>
          <cell r="F1164">
            <v>2.7417829999999998E-3</v>
          </cell>
        </row>
        <row r="1165">
          <cell r="B1165" t="str">
            <v>Union Pacific</v>
          </cell>
          <cell r="E1165">
            <v>4</v>
          </cell>
          <cell r="F1165">
            <v>8.1546020000000002E-4</v>
          </cell>
        </row>
        <row r="1166">
          <cell r="B1166" t="str">
            <v>Union Pacific</v>
          </cell>
          <cell r="E1166">
            <v>4</v>
          </cell>
          <cell r="F1166">
            <v>9.7605599999999999E-4</v>
          </cell>
        </row>
        <row r="1167">
          <cell r="B1167" t="str">
            <v>Union Pacific</v>
          </cell>
          <cell r="E1167">
            <v>4</v>
          </cell>
          <cell r="F1167">
            <v>5.3907990000000002E-4</v>
          </cell>
        </row>
        <row r="1168">
          <cell r="B1168" t="str">
            <v>Union Pacific</v>
          </cell>
          <cell r="E1168">
            <v>4</v>
          </cell>
          <cell r="F1168">
            <v>2.626412E-4</v>
          </cell>
        </row>
        <row r="1169">
          <cell r="B1169" t="str">
            <v>Union Pacific</v>
          </cell>
          <cell r="E1169">
            <v>4</v>
          </cell>
          <cell r="F1169">
            <v>3.3064890000000001E-3</v>
          </cell>
        </row>
        <row r="1170">
          <cell r="B1170" t="str">
            <v>Union Pacific</v>
          </cell>
          <cell r="E1170">
            <v>4</v>
          </cell>
          <cell r="F1170">
            <v>3.3064890000000001E-3</v>
          </cell>
        </row>
        <row r="1171">
          <cell r="B1171" t="str">
            <v>Union Pacific</v>
          </cell>
          <cell r="E1171">
            <v>4</v>
          </cell>
          <cell r="F1171">
            <v>3.5739320000000003E-4</v>
          </cell>
        </row>
        <row r="1172">
          <cell r="B1172" t="str">
            <v>Union Pacific</v>
          </cell>
          <cell r="E1172">
            <v>4</v>
          </cell>
          <cell r="F1172">
            <v>1.0472389999999999E-3</v>
          </cell>
        </row>
        <row r="1173">
          <cell r="B1173" t="str">
            <v>Union Pacific</v>
          </cell>
          <cell r="E1173">
            <v>4</v>
          </cell>
          <cell r="F1173">
            <v>3.3073120000000002E-3</v>
          </cell>
        </row>
        <row r="1174">
          <cell r="B1174" t="str">
            <v>Union Pacific</v>
          </cell>
          <cell r="E1174">
            <v>4</v>
          </cell>
          <cell r="F1174">
            <v>6.6147610000000003E-3</v>
          </cell>
        </row>
        <row r="1175">
          <cell r="B1175" t="str">
            <v>Union Pacific</v>
          </cell>
          <cell r="E1175">
            <v>4</v>
          </cell>
          <cell r="F1175">
            <v>3.3073650000000003E-2</v>
          </cell>
        </row>
        <row r="1176">
          <cell r="B1176" t="str">
            <v>Union Pacific</v>
          </cell>
          <cell r="E1176">
            <v>4</v>
          </cell>
          <cell r="F1176">
            <v>6.6146820000000002E-3</v>
          </cell>
        </row>
        <row r="1177">
          <cell r="B1177" t="str">
            <v>Union Pacific</v>
          </cell>
          <cell r="E1177">
            <v>4</v>
          </cell>
          <cell r="F1177">
            <v>1.9844259999999999E-2</v>
          </cell>
        </row>
        <row r="1178">
          <cell r="B1178" t="str">
            <v>Union Pacific</v>
          </cell>
          <cell r="E1178">
            <v>4</v>
          </cell>
          <cell r="F1178">
            <v>1.9684429999999999E-2</v>
          </cell>
        </row>
        <row r="1179">
          <cell r="B1179" t="str">
            <v>Union Pacific</v>
          </cell>
          <cell r="E1179">
            <v>4</v>
          </cell>
          <cell r="F1179">
            <v>9.9221310000000007E-3</v>
          </cell>
        </row>
        <row r="1180">
          <cell r="B1180" t="str">
            <v>Union Pacific</v>
          </cell>
          <cell r="E1180">
            <v>4</v>
          </cell>
          <cell r="F1180">
            <v>2.6458909999999999E-2</v>
          </cell>
        </row>
        <row r="1181">
          <cell r="B1181" t="str">
            <v>Union Pacific</v>
          </cell>
          <cell r="E1181">
            <v>4</v>
          </cell>
          <cell r="F1181">
            <v>9.3044830000000005E-3</v>
          </cell>
        </row>
        <row r="1182">
          <cell r="B1182" t="str">
            <v>Union Pacific</v>
          </cell>
          <cell r="E1182">
            <v>4</v>
          </cell>
          <cell r="F1182">
            <v>9.9221310000000007E-3</v>
          </cell>
        </row>
        <row r="1183">
          <cell r="B1183" t="str">
            <v>Union Pacific</v>
          </cell>
          <cell r="E1183">
            <v>4</v>
          </cell>
          <cell r="F1183">
            <v>1.1690249999999999E-2</v>
          </cell>
        </row>
        <row r="1184">
          <cell r="B1184" t="str">
            <v>Union Pacific</v>
          </cell>
          <cell r="E1184">
            <v>4</v>
          </cell>
          <cell r="F1184">
            <v>9.9221310000000007E-3</v>
          </cell>
        </row>
        <row r="1185">
          <cell r="B1185" t="str">
            <v>Union Pacific</v>
          </cell>
          <cell r="E1185">
            <v>4</v>
          </cell>
          <cell r="F1185">
            <v>8.8462149999999993E-3</v>
          </cell>
        </row>
        <row r="1186">
          <cell r="B1186" t="str">
            <v>Union Pacific</v>
          </cell>
          <cell r="E1186">
            <v>4</v>
          </cell>
          <cell r="F1186">
            <v>9.9221310000000007E-3</v>
          </cell>
        </row>
        <row r="1187">
          <cell r="B1187" t="str">
            <v>Union Pacific</v>
          </cell>
          <cell r="E1187">
            <v>4</v>
          </cell>
          <cell r="F1187">
            <v>8.7988640000000007E-2</v>
          </cell>
        </row>
        <row r="1188">
          <cell r="B1188" t="str">
            <v>Union Pacific</v>
          </cell>
          <cell r="E1188">
            <v>4</v>
          </cell>
          <cell r="F1188">
            <v>2.8909710000000002E-2</v>
          </cell>
        </row>
        <row r="1189">
          <cell r="B1189" t="str">
            <v>Union Pacific</v>
          </cell>
          <cell r="E1189">
            <v>4</v>
          </cell>
          <cell r="F1189">
            <v>3.3139519999999998E-3</v>
          </cell>
        </row>
        <row r="1190">
          <cell r="B1190" t="str">
            <v>Union Pacific</v>
          </cell>
          <cell r="E1190">
            <v>4</v>
          </cell>
          <cell r="F1190">
            <v>4.8874800000000002E-5</v>
          </cell>
        </row>
        <row r="1191">
          <cell r="B1191" t="str">
            <v>Union Pacific</v>
          </cell>
          <cell r="E1191">
            <v>4</v>
          </cell>
          <cell r="F1191">
            <v>2.0513139999999998E-3</v>
          </cell>
        </row>
        <row r="1192">
          <cell r="B1192" t="str">
            <v>Union Pacific</v>
          </cell>
          <cell r="E1192">
            <v>4</v>
          </cell>
          <cell r="F1192">
            <v>2.379943E-2</v>
          </cell>
        </row>
        <row r="1193">
          <cell r="B1193" t="str">
            <v>Union Pacific</v>
          </cell>
          <cell r="E1193">
            <v>4</v>
          </cell>
          <cell r="F1193">
            <v>2.6043960000000001E-3</v>
          </cell>
        </row>
        <row r="1194">
          <cell r="B1194" t="str">
            <v>Union Pacific</v>
          </cell>
          <cell r="E1194">
            <v>4</v>
          </cell>
          <cell r="F1194">
            <v>3.4545610000000001E-3</v>
          </cell>
        </row>
        <row r="1195">
          <cell r="B1195" t="str">
            <v>Union Pacific</v>
          </cell>
          <cell r="E1195">
            <v>4</v>
          </cell>
          <cell r="F1195">
            <v>1.017483E-3</v>
          </cell>
        </row>
        <row r="1196">
          <cell r="B1196" t="str">
            <v>Union Pacific</v>
          </cell>
          <cell r="E1196">
            <v>4</v>
          </cell>
          <cell r="F1196">
            <v>0.53671939999999996</v>
          </cell>
        </row>
        <row r="1197">
          <cell r="B1197" t="str">
            <v>Union Pacific</v>
          </cell>
          <cell r="E1197">
            <v>4</v>
          </cell>
          <cell r="F1197">
            <v>5.2472269999999995E-4</v>
          </cell>
        </row>
        <row r="1198">
          <cell r="B1198" t="str">
            <v>Union Pacific</v>
          </cell>
          <cell r="E1198">
            <v>4</v>
          </cell>
          <cell r="F1198">
            <v>1.1493619999999999E-3</v>
          </cell>
        </row>
        <row r="1199">
          <cell r="B1199" t="str">
            <v>Union Pacific</v>
          </cell>
          <cell r="E1199">
            <v>4</v>
          </cell>
          <cell r="F1199">
            <v>1.774531E-3</v>
          </cell>
        </row>
        <row r="1200">
          <cell r="B1200" t="str">
            <v>Union Pacific</v>
          </cell>
          <cell r="E1200">
            <v>4</v>
          </cell>
          <cell r="F1200">
            <v>3.2523589999999998E-3</v>
          </cell>
        </row>
        <row r="1201">
          <cell r="B1201" t="str">
            <v>Union Pacific</v>
          </cell>
          <cell r="E1201">
            <v>4</v>
          </cell>
          <cell r="F1201">
            <v>3.2523589999999998E-3</v>
          </cell>
        </row>
        <row r="1202">
          <cell r="B1202" t="str">
            <v>Union Pacific</v>
          </cell>
          <cell r="E1202">
            <v>4</v>
          </cell>
          <cell r="F1202">
            <v>6.5046590000000003E-3</v>
          </cell>
        </row>
        <row r="1203">
          <cell r="B1203" t="str">
            <v>Union Pacific</v>
          </cell>
          <cell r="E1203">
            <v>4</v>
          </cell>
          <cell r="F1203">
            <v>6.5046590000000003E-3</v>
          </cell>
        </row>
        <row r="1204">
          <cell r="B1204" t="str">
            <v>Union Pacific</v>
          </cell>
          <cell r="E1204">
            <v>4</v>
          </cell>
          <cell r="F1204">
            <v>6.5046590000000003E-3</v>
          </cell>
        </row>
        <row r="1205">
          <cell r="B1205" t="str">
            <v>Union Pacific</v>
          </cell>
          <cell r="E1205">
            <v>4</v>
          </cell>
          <cell r="F1205">
            <v>3.2512690000000002E-3</v>
          </cell>
        </row>
        <row r="1206">
          <cell r="B1206" t="str">
            <v>Union Pacific</v>
          </cell>
          <cell r="E1206">
            <v>4</v>
          </cell>
          <cell r="F1206">
            <v>4.0704199999999999E-3</v>
          </cell>
        </row>
        <row r="1207">
          <cell r="B1207" t="str">
            <v>Union Pacific</v>
          </cell>
          <cell r="E1207">
            <v>4</v>
          </cell>
          <cell r="F1207">
            <v>3.2218329999999999E-3</v>
          </cell>
        </row>
        <row r="1208">
          <cell r="B1208" t="str">
            <v>Union Pacific</v>
          </cell>
          <cell r="E1208">
            <v>4</v>
          </cell>
          <cell r="F1208">
            <v>2.3733059999999999E-3</v>
          </cell>
        </row>
        <row r="1209">
          <cell r="B1209" t="str">
            <v>Union Pacific</v>
          </cell>
          <cell r="E1209">
            <v>4</v>
          </cell>
          <cell r="F1209">
            <v>1.525034E-3</v>
          </cell>
        </row>
        <row r="1210">
          <cell r="B1210" t="str">
            <v>Union Pacific</v>
          </cell>
          <cell r="E1210">
            <v>4</v>
          </cell>
          <cell r="F1210">
            <v>6.6681809999999996E-3</v>
          </cell>
        </row>
        <row r="1211">
          <cell r="B1211" t="str">
            <v>Union Pacific</v>
          </cell>
          <cell r="E1211">
            <v>4</v>
          </cell>
          <cell r="F1211">
            <v>2.226764E-3</v>
          </cell>
        </row>
        <row r="1212">
          <cell r="B1212" t="str">
            <v>Union Pacific</v>
          </cell>
          <cell r="E1212">
            <v>4</v>
          </cell>
          <cell r="F1212">
            <v>1.3783140000000001E-3</v>
          </cell>
        </row>
        <row r="1213">
          <cell r="B1213" t="str">
            <v>Union Pacific</v>
          </cell>
          <cell r="E1213">
            <v>4</v>
          </cell>
          <cell r="F1213">
            <v>5.2984609999999998E-4</v>
          </cell>
        </row>
        <row r="1214">
          <cell r="B1214" t="str">
            <v>Union Pacific</v>
          </cell>
          <cell r="E1214">
            <v>4</v>
          </cell>
          <cell r="F1214">
            <v>2.0319859999999999E-3</v>
          </cell>
        </row>
        <row r="1215">
          <cell r="B1215" t="str">
            <v>Union Pacific</v>
          </cell>
          <cell r="E1215">
            <v>4</v>
          </cell>
          <cell r="F1215">
            <v>7.7447269999999999E-2</v>
          </cell>
        </row>
        <row r="1216">
          <cell r="B1216" t="str">
            <v>Union Pacific</v>
          </cell>
          <cell r="E1216">
            <v>4</v>
          </cell>
          <cell r="F1216">
            <v>3.7745190000000001E-3</v>
          </cell>
        </row>
        <row r="1217">
          <cell r="B1217" t="str">
            <v>Union Pacific</v>
          </cell>
          <cell r="E1217">
            <v>4</v>
          </cell>
          <cell r="F1217">
            <v>4.3518280000000003E-3</v>
          </cell>
        </row>
        <row r="1218">
          <cell r="B1218" t="str">
            <v>Union Pacific</v>
          </cell>
          <cell r="E1218">
            <v>4</v>
          </cell>
          <cell r="F1218">
            <v>4.0112460000000004E-3</v>
          </cell>
        </row>
        <row r="1219">
          <cell r="B1219" t="str">
            <v>Union Pacific</v>
          </cell>
          <cell r="E1219">
            <v>4</v>
          </cell>
          <cell r="F1219">
            <v>8.7444129999999999E-4</v>
          </cell>
        </row>
        <row r="1220">
          <cell r="B1220" t="str">
            <v>Union Pacific</v>
          </cell>
          <cell r="E1220">
            <v>4</v>
          </cell>
          <cell r="F1220">
            <v>5.9993440000000002E-4</v>
          </cell>
        </row>
        <row r="1221">
          <cell r="B1221" t="str">
            <v>Union Pacific</v>
          </cell>
          <cell r="E1221">
            <v>4</v>
          </cell>
          <cell r="F1221">
            <v>3.2556600000000001E-4</v>
          </cell>
        </row>
        <row r="1222">
          <cell r="B1222" t="str">
            <v>Union Pacific</v>
          </cell>
          <cell r="E1222">
            <v>4</v>
          </cell>
          <cell r="F1222">
            <v>1.875161E-3</v>
          </cell>
        </row>
        <row r="1223">
          <cell r="B1223" t="str">
            <v>Union Pacific</v>
          </cell>
          <cell r="E1223">
            <v>4</v>
          </cell>
          <cell r="F1223">
            <v>4.6280110000000002E-4</v>
          </cell>
        </row>
        <row r="1224">
          <cell r="B1224" t="str">
            <v>Union Pacific</v>
          </cell>
          <cell r="E1224">
            <v>4</v>
          </cell>
          <cell r="F1224">
            <v>0.1147427</v>
          </cell>
        </row>
        <row r="1225">
          <cell r="B1225" t="str">
            <v>Union Pacific</v>
          </cell>
          <cell r="E1225">
            <v>4</v>
          </cell>
          <cell r="F1225">
            <v>3.892368E-4</v>
          </cell>
        </row>
        <row r="1226">
          <cell r="B1226" t="str">
            <v>Union Pacific</v>
          </cell>
          <cell r="E1226">
            <v>4</v>
          </cell>
          <cell r="F1226">
            <v>2.9065569999999998E-4</v>
          </cell>
        </row>
        <row r="1227">
          <cell r="B1227" t="str">
            <v>Union Pacific</v>
          </cell>
          <cell r="E1227">
            <v>4</v>
          </cell>
          <cell r="F1227">
            <v>6.0356070000000001E-3</v>
          </cell>
        </row>
        <row r="1228">
          <cell r="B1228" t="str">
            <v>Union Pacific</v>
          </cell>
          <cell r="E1228">
            <v>4</v>
          </cell>
          <cell r="F1228">
            <v>1.189263E-2</v>
          </cell>
        </row>
        <row r="1229">
          <cell r="B1229" t="str">
            <v>Union Pacific</v>
          </cell>
          <cell r="E1229">
            <v>4</v>
          </cell>
          <cell r="F1229">
            <v>1.5946930000000002E-2</v>
          </cell>
        </row>
        <row r="1230">
          <cell r="B1230" t="str">
            <v>Union Pacific</v>
          </cell>
          <cell r="E1230">
            <v>4</v>
          </cell>
          <cell r="F1230">
            <v>7.9734279999999994E-3</v>
          </cell>
        </row>
        <row r="1231">
          <cell r="B1231" t="str">
            <v>N/A</v>
          </cell>
          <cell r="E1231">
            <v>3</v>
          </cell>
          <cell r="F1231">
            <v>4.770809E-3</v>
          </cell>
        </row>
        <row r="1232">
          <cell r="B1232" t="str">
            <v>N/A</v>
          </cell>
          <cell r="E1232">
            <v>3</v>
          </cell>
          <cell r="F1232">
            <v>1.1586260000000001E-3</v>
          </cell>
        </row>
        <row r="1233">
          <cell r="B1233" t="str">
            <v>N/A</v>
          </cell>
          <cell r="E1233">
            <v>3</v>
          </cell>
          <cell r="F1233">
            <v>6.4608799999999994E-2</v>
          </cell>
        </row>
        <row r="1234">
          <cell r="B1234" t="str">
            <v>N/A</v>
          </cell>
          <cell r="E1234">
            <v>3</v>
          </cell>
          <cell r="F1234">
            <v>1.322395E-2</v>
          </cell>
        </row>
        <row r="1235">
          <cell r="B1235" t="str">
            <v>N/A</v>
          </cell>
          <cell r="E1235">
            <v>3</v>
          </cell>
          <cell r="F1235">
            <v>3.6306820000000001E-3</v>
          </cell>
        </row>
        <row r="1236">
          <cell r="B1236" t="str">
            <v>N/A</v>
          </cell>
          <cell r="E1236">
            <v>3</v>
          </cell>
          <cell r="F1236">
            <v>0.16201560000000001</v>
          </cell>
        </row>
        <row r="1237">
          <cell r="B1237" t="str">
            <v>N/A</v>
          </cell>
          <cell r="E1237">
            <v>3</v>
          </cell>
          <cell r="F1237">
            <v>3.1983699999999999E-3</v>
          </cell>
        </row>
        <row r="1238">
          <cell r="B1238" t="str">
            <v>N/A</v>
          </cell>
          <cell r="E1238">
            <v>3</v>
          </cell>
          <cell r="F1238">
            <v>6.2258219999999998E-3</v>
          </cell>
        </row>
        <row r="1239">
          <cell r="B1239" t="str">
            <v>N/A</v>
          </cell>
          <cell r="E1239">
            <v>3</v>
          </cell>
          <cell r="F1239">
            <v>2.8428200000000001E-2</v>
          </cell>
        </row>
        <row r="1240">
          <cell r="B1240" t="str">
            <v>N/A</v>
          </cell>
          <cell r="E1240">
            <v>3</v>
          </cell>
          <cell r="F1240">
            <v>2.4218629999999998E-3</v>
          </cell>
        </row>
        <row r="1241">
          <cell r="B1241" t="str">
            <v>N/A</v>
          </cell>
          <cell r="E1241">
            <v>3</v>
          </cell>
          <cell r="F1241">
            <v>3.0122960000000001E-2</v>
          </cell>
        </row>
        <row r="1242">
          <cell r="B1242" t="str">
            <v>N/A</v>
          </cell>
          <cell r="E1242">
            <v>3</v>
          </cell>
          <cell r="F1242">
            <v>5.386494E-2</v>
          </cell>
        </row>
        <row r="1243">
          <cell r="B1243" t="str">
            <v>N/A</v>
          </cell>
          <cell r="E1243">
            <v>3</v>
          </cell>
          <cell r="F1243">
            <v>0.10105219999999999</v>
          </cell>
        </row>
        <row r="1244">
          <cell r="B1244" t="str">
            <v>N/A</v>
          </cell>
          <cell r="E1244">
            <v>3</v>
          </cell>
          <cell r="F1244">
            <v>5.573914E-2</v>
          </cell>
        </row>
        <row r="1245">
          <cell r="B1245" t="str">
            <v>N/A</v>
          </cell>
          <cell r="E1245">
            <v>3</v>
          </cell>
          <cell r="F1245">
            <v>7.9731909999999993E-3</v>
          </cell>
        </row>
        <row r="1246">
          <cell r="B1246" t="str">
            <v>N/A</v>
          </cell>
          <cell r="E1246">
            <v>3</v>
          </cell>
          <cell r="F1246">
            <v>1.567286E-3</v>
          </cell>
        </row>
        <row r="1247">
          <cell r="B1247" t="str">
            <v>N/A</v>
          </cell>
          <cell r="E1247">
            <v>3</v>
          </cell>
          <cell r="F1247">
            <v>9.1062900000000002E-2</v>
          </cell>
        </row>
        <row r="1248">
          <cell r="B1248" t="str">
            <v>N/A</v>
          </cell>
          <cell r="E1248">
            <v>3</v>
          </cell>
          <cell r="F1248">
            <v>1.7750080000000001E-2</v>
          </cell>
        </row>
        <row r="1249">
          <cell r="B1249" t="str">
            <v>N/A</v>
          </cell>
          <cell r="E1249">
            <v>3</v>
          </cell>
          <cell r="F1249">
            <v>3.1932190000000002E-3</v>
          </cell>
        </row>
        <row r="1250">
          <cell r="B1250" t="str">
            <v>N/A</v>
          </cell>
          <cell r="E1250">
            <v>3</v>
          </cell>
          <cell r="F1250">
            <v>1.254099E-2</v>
          </cell>
        </row>
        <row r="1251">
          <cell r="B1251" t="str">
            <v>N/A</v>
          </cell>
          <cell r="E1251">
            <v>3</v>
          </cell>
          <cell r="F1251">
            <v>3.8547210000000002E-3</v>
          </cell>
        </row>
        <row r="1252">
          <cell r="B1252" t="str">
            <v>N/A</v>
          </cell>
          <cell r="E1252">
            <v>3</v>
          </cell>
          <cell r="F1252">
            <v>4.4452049999999998E-3</v>
          </cell>
        </row>
        <row r="1253">
          <cell r="B1253" t="str">
            <v>N/A</v>
          </cell>
          <cell r="E1253">
            <v>3</v>
          </cell>
          <cell r="F1253">
            <v>2.2038949999999998E-6</v>
          </cell>
        </row>
        <row r="1254">
          <cell r="B1254" t="str">
            <v>N/A</v>
          </cell>
          <cell r="E1254">
            <v>3</v>
          </cell>
          <cell r="F1254">
            <v>3.4484590000000001E-3</v>
          </cell>
        </row>
        <row r="1255">
          <cell r="B1255" t="str">
            <v>N/A</v>
          </cell>
          <cell r="E1255">
            <v>3</v>
          </cell>
          <cell r="F1255">
            <v>2.211902E-3</v>
          </cell>
        </row>
        <row r="1256">
          <cell r="B1256" t="str">
            <v>N/A</v>
          </cell>
          <cell r="E1256">
            <v>3</v>
          </cell>
          <cell r="F1256">
            <v>3.122832E-2</v>
          </cell>
        </row>
        <row r="1257">
          <cell r="B1257" t="str">
            <v>N/A</v>
          </cell>
          <cell r="E1257">
            <v>3</v>
          </cell>
          <cell r="F1257">
            <v>4.330813E-2</v>
          </cell>
        </row>
        <row r="1258">
          <cell r="B1258" t="str">
            <v>N/A</v>
          </cell>
          <cell r="E1258">
            <v>3</v>
          </cell>
          <cell r="F1258">
            <v>7.4487809999999998E-3</v>
          </cell>
        </row>
        <row r="1259">
          <cell r="B1259" t="str">
            <v>N/A</v>
          </cell>
          <cell r="E1259">
            <v>3</v>
          </cell>
          <cell r="F1259">
            <v>6.2820310000000004E-3</v>
          </cell>
        </row>
        <row r="1260">
          <cell r="B1260" t="str">
            <v>N/A</v>
          </cell>
          <cell r="E1260">
            <v>3</v>
          </cell>
          <cell r="F1260">
            <v>2.8022390000000001E-2</v>
          </cell>
        </row>
        <row r="1261">
          <cell r="B1261" t="str">
            <v>N/A</v>
          </cell>
          <cell r="E1261">
            <v>3</v>
          </cell>
          <cell r="F1261">
            <v>3.1348529999999999E-3</v>
          </cell>
        </row>
        <row r="1262">
          <cell r="B1262" t="str">
            <v>N/A</v>
          </cell>
          <cell r="E1262">
            <v>3</v>
          </cell>
          <cell r="F1262">
            <v>2.5078260000000002E-2</v>
          </cell>
        </row>
        <row r="1263">
          <cell r="B1263" t="str">
            <v>N/A</v>
          </cell>
          <cell r="E1263">
            <v>3</v>
          </cell>
          <cell r="F1263">
            <v>6.2494220000000001E-3</v>
          </cell>
        </row>
        <row r="1264">
          <cell r="B1264" t="str">
            <v>N/A</v>
          </cell>
          <cell r="E1264">
            <v>3</v>
          </cell>
          <cell r="F1264">
            <v>8.8664539999999993E-3</v>
          </cell>
        </row>
        <row r="1265">
          <cell r="B1265" t="str">
            <v>BNSF</v>
          </cell>
          <cell r="E1265">
            <v>3</v>
          </cell>
          <cell r="F1265">
            <v>1.6032329999999999E-3</v>
          </cell>
        </row>
        <row r="1266">
          <cell r="B1266" t="str">
            <v>BNSF</v>
          </cell>
          <cell r="E1266">
            <v>3</v>
          </cell>
          <cell r="F1266">
            <v>6.2258440000000003E-3</v>
          </cell>
        </row>
        <row r="1267">
          <cell r="B1267" t="str">
            <v>BNSF</v>
          </cell>
          <cell r="E1267">
            <v>3</v>
          </cell>
          <cell r="F1267">
            <v>3.5193780000000001E-3</v>
          </cell>
        </row>
        <row r="1268">
          <cell r="B1268" t="str">
            <v>BNSF</v>
          </cell>
          <cell r="E1268">
            <v>3</v>
          </cell>
          <cell r="F1268">
            <v>1.5153160000000001E-3</v>
          </cell>
        </row>
        <row r="1269">
          <cell r="B1269" t="str">
            <v>BNSF</v>
          </cell>
          <cell r="E1269">
            <v>3</v>
          </cell>
          <cell r="F1269">
            <v>8.2025760000000001E-4</v>
          </cell>
        </row>
        <row r="1270">
          <cell r="B1270" t="str">
            <v>BNSF</v>
          </cell>
          <cell r="E1270">
            <v>3</v>
          </cell>
          <cell r="F1270">
            <v>9.5361100000000004E-3</v>
          </cell>
        </row>
        <row r="1271">
          <cell r="B1271" t="str">
            <v>BNSF</v>
          </cell>
          <cell r="E1271">
            <v>3</v>
          </cell>
          <cell r="F1271">
            <v>8.9527029999999994E-3</v>
          </cell>
        </row>
        <row r="1272">
          <cell r="B1272" t="str">
            <v>BNSF</v>
          </cell>
          <cell r="E1272">
            <v>3</v>
          </cell>
          <cell r="F1272">
            <v>1.7825829999999999E-3</v>
          </cell>
        </row>
        <row r="1273">
          <cell r="B1273" t="str">
            <v>BNSF</v>
          </cell>
          <cell r="E1273">
            <v>3</v>
          </cell>
          <cell r="F1273">
            <v>7.3411169999999999E-4</v>
          </cell>
        </row>
        <row r="1274">
          <cell r="B1274" t="str">
            <v>BNSF</v>
          </cell>
          <cell r="E1274">
            <v>3</v>
          </cell>
          <cell r="F1274">
            <v>1.3839810000000001E-3</v>
          </cell>
        </row>
        <row r="1275">
          <cell r="B1275" t="str">
            <v>BNSF</v>
          </cell>
          <cell r="E1275">
            <v>3</v>
          </cell>
          <cell r="F1275">
            <v>3.1116370000000001E-2</v>
          </cell>
        </row>
        <row r="1276">
          <cell r="B1276" t="str">
            <v>BNSF</v>
          </cell>
          <cell r="E1276">
            <v>3</v>
          </cell>
          <cell r="F1276">
            <v>1.950516E-3</v>
          </cell>
        </row>
        <row r="1277">
          <cell r="B1277" t="str">
            <v>BNSF</v>
          </cell>
          <cell r="E1277">
            <v>3</v>
          </cell>
          <cell r="F1277">
            <v>9.9000319999999996E-3</v>
          </cell>
        </row>
        <row r="1278">
          <cell r="B1278" t="str">
            <v>BNSF</v>
          </cell>
          <cell r="E1278">
            <v>3</v>
          </cell>
          <cell r="F1278">
            <v>9.0961119999999999E-3</v>
          </cell>
        </row>
        <row r="1279">
          <cell r="B1279" t="str">
            <v>BNSF</v>
          </cell>
          <cell r="E1279">
            <v>3</v>
          </cell>
          <cell r="F1279">
            <v>4.1106529999999997E-3</v>
          </cell>
        </row>
        <row r="1280">
          <cell r="B1280" t="str">
            <v>BNSF</v>
          </cell>
          <cell r="E1280">
            <v>3</v>
          </cell>
          <cell r="F1280">
            <v>4.2249089999999998E-3</v>
          </cell>
        </row>
        <row r="1281">
          <cell r="B1281" t="str">
            <v>BNSF</v>
          </cell>
          <cell r="E1281">
            <v>3</v>
          </cell>
          <cell r="F1281">
            <v>1.006948E-2</v>
          </cell>
        </row>
        <row r="1282">
          <cell r="B1282" t="str">
            <v>BNSF</v>
          </cell>
          <cell r="E1282">
            <v>3</v>
          </cell>
          <cell r="F1282">
            <v>3.003248E-3</v>
          </cell>
        </row>
        <row r="1283">
          <cell r="B1283" t="str">
            <v>BNSF</v>
          </cell>
          <cell r="E1283">
            <v>3</v>
          </cell>
          <cell r="F1283">
            <v>4.1944540000000002E-3</v>
          </cell>
        </row>
        <row r="1284">
          <cell r="B1284" t="str">
            <v>BNSF</v>
          </cell>
          <cell r="E1284">
            <v>3</v>
          </cell>
          <cell r="F1284">
            <v>3.2952559999999999E-3</v>
          </cell>
        </row>
        <row r="1285">
          <cell r="B1285" t="str">
            <v>BNSF</v>
          </cell>
          <cell r="E1285">
            <v>3</v>
          </cell>
          <cell r="F1285">
            <v>5.1284529999999998E-3</v>
          </cell>
        </row>
        <row r="1286">
          <cell r="B1286" t="str">
            <v>BNSF</v>
          </cell>
          <cell r="E1286">
            <v>3</v>
          </cell>
          <cell r="F1286">
            <v>6.8594320000000002E-4</v>
          </cell>
        </row>
        <row r="1287">
          <cell r="B1287" t="str">
            <v>BNSF</v>
          </cell>
          <cell r="E1287">
            <v>3</v>
          </cell>
          <cell r="F1287">
            <v>1.4862709999999999E-3</v>
          </cell>
        </row>
        <row r="1288">
          <cell r="B1288" t="str">
            <v>BNSF</v>
          </cell>
          <cell r="E1288">
            <v>3</v>
          </cell>
          <cell r="F1288">
            <v>2.2863359999999999E-3</v>
          </cell>
        </row>
        <row r="1289">
          <cell r="B1289" t="str">
            <v>BNSF</v>
          </cell>
          <cell r="E1289">
            <v>3</v>
          </cell>
          <cell r="F1289">
            <v>3.0866169999999998E-3</v>
          </cell>
        </row>
        <row r="1290">
          <cell r="B1290" t="str">
            <v>BNSF</v>
          </cell>
          <cell r="E1290">
            <v>3</v>
          </cell>
          <cell r="F1290">
            <v>3.8865480000000001E-3</v>
          </cell>
        </row>
        <row r="1291">
          <cell r="B1291" t="str">
            <v>BNSF</v>
          </cell>
          <cell r="E1291">
            <v>3</v>
          </cell>
          <cell r="F1291">
            <v>4.195954E-3</v>
          </cell>
        </row>
        <row r="1292">
          <cell r="B1292" t="str">
            <v>BNSF</v>
          </cell>
          <cell r="E1292">
            <v>3</v>
          </cell>
          <cell r="F1292">
            <v>2.9052769999999999E-3</v>
          </cell>
        </row>
        <row r="1293">
          <cell r="B1293" t="str">
            <v>BNSF</v>
          </cell>
          <cell r="E1293">
            <v>3</v>
          </cell>
          <cell r="F1293">
            <v>4.195954E-3</v>
          </cell>
        </row>
        <row r="1294">
          <cell r="B1294" t="str">
            <v>BNSF</v>
          </cell>
          <cell r="E1294">
            <v>3</v>
          </cell>
          <cell r="F1294">
            <v>2.1050830000000002E-3</v>
          </cell>
        </row>
        <row r="1295">
          <cell r="B1295" t="str">
            <v>BNSF</v>
          </cell>
          <cell r="E1295">
            <v>3</v>
          </cell>
          <cell r="F1295">
            <v>3.8030939999999999E-3</v>
          </cell>
        </row>
        <row r="1296">
          <cell r="B1296" t="str">
            <v>BNSF</v>
          </cell>
          <cell r="E1296">
            <v>3</v>
          </cell>
          <cell r="F1296">
            <v>1.305152E-3</v>
          </cell>
        </row>
        <row r="1297">
          <cell r="B1297" t="str">
            <v>BNSF</v>
          </cell>
          <cell r="E1297">
            <v>3</v>
          </cell>
          <cell r="F1297">
            <v>5.0508740000000001E-4</v>
          </cell>
        </row>
        <row r="1298">
          <cell r="B1298" t="str">
            <v>BNSF</v>
          </cell>
          <cell r="E1298">
            <v>3</v>
          </cell>
          <cell r="F1298">
            <v>8.5944870000000007E-2</v>
          </cell>
        </row>
        <row r="1299">
          <cell r="B1299" t="str">
            <v>BNSF</v>
          </cell>
          <cell r="E1299">
            <v>3</v>
          </cell>
          <cell r="F1299">
            <v>9.4208730000000004E-2</v>
          </cell>
        </row>
        <row r="1300">
          <cell r="B1300" t="str">
            <v>Union Pacific</v>
          </cell>
          <cell r="E1300">
            <v>3</v>
          </cell>
          <cell r="F1300">
            <v>1.77994E-3</v>
          </cell>
        </row>
        <row r="1301">
          <cell r="B1301" t="str">
            <v>Union Pacific</v>
          </cell>
          <cell r="E1301">
            <v>3</v>
          </cell>
          <cell r="F1301">
            <v>3.9621910000000003E-3</v>
          </cell>
        </row>
        <row r="1302">
          <cell r="B1302" t="str">
            <v>Union Pacific</v>
          </cell>
          <cell r="E1302">
            <v>3</v>
          </cell>
          <cell r="F1302">
            <v>3.9621910000000003E-3</v>
          </cell>
        </row>
        <row r="1303">
          <cell r="B1303" t="str">
            <v>Union Pacific</v>
          </cell>
          <cell r="E1303">
            <v>3</v>
          </cell>
          <cell r="F1303">
            <v>3.9621910000000003E-3</v>
          </cell>
        </row>
        <row r="1304">
          <cell r="B1304" t="str">
            <v>Union Pacific</v>
          </cell>
          <cell r="E1304">
            <v>3</v>
          </cell>
          <cell r="F1304">
            <v>2.6403920000000001E-3</v>
          </cell>
        </row>
        <row r="1305">
          <cell r="B1305" t="str">
            <v>Union Pacific</v>
          </cell>
          <cell r="E1305">
            <v>3</v>
          </cell>
          <cell r="F1305">
            <v>2.5309780000000001E-3</v>
          </cell>
        </row>
        <row r="1306">
          <cell r="B1306" t="str">
            <v>Union Pacific</v>
          </cell>
          <cell r="E1306">
            <v>3</v>
          </cell>
          <cell r="F1306">
            <v>5.8513649999999999E-3</v>
          </cell>
        </row>
        <row r="1307">
          <cell r="B1307" t="str">
            <v>Union Pacific</v>
          </cell>
          <cell r="E1307">
            <v>3</v>
          </cell>
          <cell r="F1307">
            <v>3.1225860000000001E-3</v>
          </cell>
        </row>
        <row r="1308">
          <cell r="B1308" t="str">
            <v>Union Pacific</v>
          </cell>
          <cell r="E1308">
            <v>3</v>
          </cell>
          <cell r="F1308">
            <v>1.5563669999999999E-3</v>
          </cell>
        </row>
        <row r="1309">
          <cell r="B1309" t="str">
            <v>Union Pacific</v>
          </cell>
          <cell r="E1309">
            <v>3</v>
          </cell>
          <cell r="F1309">
            <v>7.8558970000000006E-3</v>
          </cell>
        </row>
        <row r="1310">
          <cell r="B1310" t="str">
            <v>Union Pacific</v>
          </cell>
          <cell r="E1310">
            <v>3</v>
          </cell>
          <cell r="F1310">
            <v>8.0321439999999997E-3</v>
          </cell>
        </row>
        <row r="1311">
          <cell r="B1311" t="str">
            <v>Union Pacific</v>
          </cell>
          <cell r="E1311">
            <v>3</v>
          </cell>
          <cell r="F1311">
            <v>1.5765830000000002E-2</v>
          </cell>
        </row>
        <row r="1312">
          <cell r="B1312" t="str">
            <v>Union Pacific</v>
          </cell>
          <cell r="E1312">
            <v>3</v>
          </cell>
          <cell r="F1312">
            <v>1.9246759999999999E-3</v>
          </cell>
        </row>
        <row r="1313">
          <cell r="B1313" t="str">
            <v>Union Pacific</v>
          </cell>
          <cell r="E1313">
            <v>3</v>
          </cell>
          <cell r="F1313">
            <v>1.591824E-2</v>
          </cell>
        </row>
        <row r="1314">
          <cell r="B1314" t="str">
            <v>Union Pacific</v>
          </cell>
          <cell r="E1314">
            <v>3</v>
          </cell>
          <cell r="F1314">
            <v>7.3403399999999994E-2</v>
          </cell>
        </row>
        <row r="1315">
          <cell r="B1315" t="str">
            <v>Union Pacific</v>
          </cell>
          <cell r="E1315">
            <v>3</v>
          </cell>
          <cell r="F1315">
            <v>2.5172110000000001E-3</v>
          </cell>
        </row>
        <row r="1316">
          <cell r="B1316" t="str">
            <v>Union Pacific</v>
          </cell>
          <cell r="E1316">
            <v>3</v>
          </cell>
          <cell r="F1316">
            <v>5.8968840000000002E-2</v>
          </cell>
        </row>
        <row r="1317">
          <cell r="B1317" t="str">
            <v>Union Pacific</v>
          </cell>
          <cell r="E1317">
            <v>3</v>
          </cell>
          <cell r="F1317">
            <v>3.191766E-3</v>
          </cell>
        </row>
        <row r="1318">
          <cell r="B1318" t="str">
            <v>Union Pacific</v>
          </cell>
          <cell r="E1318">
            <v>3</v>
          </cell>
          <cell r="F1318">
            <v>3.2840580000000001E-2</v>
          </cell>
        </row>
        <row r="1319">
          <cell r="B1319" t="str">
            <v>Union Pacific</v>
          </cell>
          <cell r="E1319">
            <v>3</v>
          </cell>
          <cell r="F1319">
            <v>6.6418660000000004E-2</v>
          </cell>
        </row>
        <row r="1320">
          <cell r="B1320" t="str">
            <v>Union Pacific</v>
          </cell>
          <cell r="E1320">
            <v>3</v>
          </cell>
          <cell r="F1320">
            <v>2.047357E-2</v>
          </cell>
        </row>
        <row r="1321">
          <cell r="B1321" t="str">
            <v>Union Pacific</v>
          </cell>
          <cell r="E1321">
            <v>3</v>
          </cell>
          <cell r="F1321">
            <v>6.6688280000000003E-2</v>
          </cell>
        </row>
        <row r="1322">
          <cell r="B1322" t="str">
            <v>Union Pacific</v>
          </cell>
          <cell r="E1322">
            <v>3</v>
          </cell>
          <cell r="F1322">
            <v>6.0190130000000001E-3</v>
          </cell>
        </row>
        <row r="1323">
          <cell r="B1323" t="str">
            <v>Union Pacific</v>
          </cell>
          <cell r="E1323">
            <v>3</v>
          </cell>
          <cell r="F1323">
            <v>8.8931449999999999E-3</v>
          </cell>
        </row>
        <row r="1324">
          <cell r="B1324" t="str">
            <v>Union Pacific</v>
          </cell>
          <cell r="E1324">
            <v>3</v>
          </cell>
          <cell r="F1324">
            <v>2.2908889999999999E-3</v>
          </cell>
        </row>
        <row r="1325">
          <cell r="B1325" t="str">
            <v>Union Pacific</v>
          </cell>
          <cell r="E1325">
            <v>3</v>
          </cell>
          <cell r="F1325">
            <v>3.3114479999999998E-3</v>
          </cell>
        </row>
        <row r="1326">
          <cell r="B1326" t="str">
            <v>Union Pacific</v>
          </cell>
          <cell r="E1326">
            <v>3</v>
          </cell>
          <cell r="F1326">
            <v>2.3117260000000001E-3</v>
          </cell>
        </row>
        <row r="1327">
          <cell r="B1327" t="str">
            <v>Union Pacific</v>
          </cell>
          <cell r="E1327">
            <v>3</v>
          </cell>
          <cell r="F1327">
            <v>3.9777989999999997E-3</v>
          </cell>
        </row>
        <row r="1328">
          <cell r="B1328" t="str">
            <v>Union Pacific</v>
          </cell>
          <cell r="E1328">
            <v>3</v>
          </cell>
          <cell r="F1328">
            <v>2.3324830000000002E-3</v>
          </cell>
        </row>
        <row r="1329">
          <cell r="B1329" t="str">
            <v>Union Pacific</v>
          </cell>
          <cell r="E1329">
            <v>3</v>
          </cell>
          <cell r="F1329">
            <v>9.2476079999999992E-3</v>
          </cell>
        </row>
        <row r="1330">
          <cell r="B1330" t="str">
            <v>Union Pacific</v>
          </cell>
          <cell r="E1330">
            <v>3</v>
          </cell>
          <cell r="F1330">
            <v>2.3409800000000001E-2</v>
          </cell>
        </row>
        <row r="1331">
          <cell r="B1331" t="str">
            <v>Union Pacific</v>
          </cell>
          <cell r="E1331">
            <v>3</v>
          </cell>
          <cell r="F1331">
            <v>9.2058980000000006E-3</v>
          </cell>
        </row>
        <row r="1332">
          <cell r="B1332" t="str">
            <v>Union Pacific</v>
          </cell>
          <cell r="E1332">
            <v>3</v>
          </cell>
          <cell r="F1332">
            <v>7.539708E-3</v>
          </cell>
        </row>
        <row r="1333">
          <cell r="B1333" t="str">
            <v>Union Pacific</v>
          </cell>
          <cell r="E1333">
            <v>3</v>
          </cell>
          <cell r="F1333">
            <v>9.1850820000000007E-3</v>
          </cell>
        </row>
        <row r="1334">
          <cell r="B1334" t="str">
            <v>Union Pacific</v>
          </cell>
          <cell r="E1334">
            <v>3</v>
          </cell>
          <cell r="F1334">
            <v>7.5189499999999999E-3</v>
          </cell>
        </row>
        <row r="1335">
          <cell r="B1335" t="str">
            <v>Union Pacific</v>
          </cell>
          <cell r="E1335">
            <v>3</v>
          </cell>
          <cell r="F1335">
            <v>9.1641870000000007E-3</v>
          </cell>
        </row>
        <row r="1336">
          <cell r="B1336" t="str">
            <v>Union Pacific</v>
          </cell>
          <cell r="E1336">
            <v>3</v>
          </cell>
          <cell r="F1336">
            <v>7.4983100000000002E-3</v>
          </cell>
        </row>
        <row r="1337">
          <cell r="B1337" t="str">
            <v>Union Pacific</v>
          </cell>
          <cell r="E1337">
            <v>3</v>
          </cell>
          <cell r="F1337">
            <v>5.8321199999999997E-3</v>
          </cell>
        </row>
        <row r="1338">
          <cell r="B1338" t="str">
            <v>Union Pacific</v>
          </cell>
          <cell r="E1338">
            <v>3</v>
          </cell>
          <cell r="F1338">
            <v>2.7369609999999999E-2</v>
          </cell>
        </row>
        <row r="1339">
          <cell r="B1339" t="str">
            <v>Union Pacific</v>
          </cell>
          <cell r="E1339">
            <v>3</v>
          </cell>
          <cell r="F1339">
            <v>1.899789E-2</v>
          </cell>
        </row>
        <row r="1340">
          <cell r="B1340" t="str">
            <v>Union Pacific</v>
          </cell>
          <cell r="E1340">
            <v>3</v>
          </cell>
          <cell r="F1340">
            <v>4.1044439999999996E-3</v>
          </cell>
        </row>
        <row r="1341">
          <cell r="B1341" t="str">
            <v>Union Pacific</v>
          </cell>
          <cell r="E1341">
            <v>3</v>
          </cell>
          <cell r="F1341">
            <v>7.1136349999999997E-4</v>
          </cell>
        </row>
        <row r="1342">
          <cell r="B1342" t="str">
            <v>Union Pacific</v>
          </cell>
          <cell r="E1342">
            <v>3</v>
          </cell>
          <cell r="F1342">
            <v>2.3567380000000001E-3</v>
          </cell>
        </row>
        <row r="1343">
          <cell r="B1343" t="str">
            <v>Union Pacific</v>
          </cell>
          <cell r="E1343">
            <v>3</v>
          </cell>
          <cell r="F1343">
            <v>6.9099929999999997E-4</v>
          </cell>
        </row>
        <row r="1344">
          <cell r="B1344" t="str">
            <v>Union Pacific</v>
          </cell>
          <cell r="E1344">
            <v>3</v>
          </cell>
          <cell r="F1344">
            <v>2.3367090000000002E-3</v>
          </cell>
        </row>
        <row r="1345">
          <cell r="B1345" t="str">
            <v>Union Pacific</v>
          </cell>
          <cell r="E1345">
            <v>3</v>
          </cell>
          <cell r="F1345">
            <v>3.9821420000000001E-3</v>
          </cell>
        </row>
        <row r="1346">
          <cell r="B1346" t="str">
            <v>Union Pacific</v>
          </cell>
          <cell r="E1346">
            <v>3</v>
          </cell>
          <cell r="F1346">
            <v>5.6279310000000001E-3</v>
          </cell>
        </row>
        <row r="1347">
          <cell r="B1347" t="str">
            <v>Union Pacific</v>
          </cell>
          <cell r="E1347">
            <v>3</v>
          </cell>
          <cell r="F1347">
            <v>9.5692850000000003E-3</v>
          </cell>
        </row>
        <row r="1348">
          <cell r="B1348" t="str">
            <v>Union Pacific</v>
          </cell>
          <cell r="E1348">
            <v>3</v>
          </cell>
          <cell r="F1348">
            <v>9.5287529999999992E-3</v>
          </cell>
        </row>
        <row r="1349">
          <cell r="B1349" t="str">
            <v>Union Pacific</v>
          </cell>
          <cell r="E1349">
            <v>3</v>
          </cell>
          <cell r="F1349">
            <v>3.921267E-3</v>
          </cell>
        </row>
        <row r="1350">
          <cell r="B1350" t="str">
            <v>Union Pacific</v>
          </cell>
          <cell r="E1350">
            <v>3</v>
          </cell>
          <cell r="F1350">
            <v>5.5668380000000002E-3</v>
          </cell>
        </row>
        <row r="1351">
          <cell r="B1351" t="str">
            <v>Union Pacific</v>
          </cell>
          <cell r="E1351">
            <v>3</v>
          </cell>
          <cell r="F1351">
            <v>5.8973000000000001E-4</v>
          </cell>
        </row>
        <row r="1352">
          <cell r="B1352" t="str">
            <v>Union Pacific</v>
          </cell>
          <cell r="E1352">
            <v>3</v>
          </cell>
          <cell r="F1352">
            <v>2.23536E-3</v>
          </cell>
        </row>
        <row r="1353">
          <cell r="B1353" t="str">
            <v>Union Pacific</v>
          </cell>
          <cell r="E1353">
            <v>3</v>
          </cell>
          <cell r="F1353">
            <v>5.6970030000000002E-4</v>
          </cell>
        </row>
        <row r="1354">
          <cell r="B1354" t="str">
            <v>Union Pacific</v>
          </cell>
          <cell r="E1354">
            <v>3</v>
          </cell>
          <cell r="F1354">
            <v>2.215271E-3</v>
          </cell>
        </row>
        <row r="1355">
          <cell r="B1355" t="str">
            <v>Union Pacific</v>
          </cell>
          <cell r="E1355">
            <v>3</v>
          </cell>
          <cell r="F1355">
            <v>5.4941560000000003E-4</v>
          </cell>
        </row>
        <row r="1356">
          <cell r="B1356" t="str">
            <v>Union Pacific</v>
          </cell>
          <cell r="E1356">
            <v>3</v>
          </cell>
          <cell r="F1356">
            <v>6.9565970000000002E-5</v>
          </cell>
        </row>
        <row r="1357">
          <cell r="B1357" t="str">
            <v>Union Pacific</v>
          </cell>
          <cell r="E1357">
            <v>3</v>
          </cell>
          <cell r="F1357">
            <v>2.1697700000000001E-3</v>
          </cell>
        </row>
        <row r="1358">
          <cell r="B1358" t="str">
            <v>Union Pacific</v>
          </cell>
          <cell r="E1358">
            <v>3</v>
          </cell>
          <cell r="F1358">
            <v>4.2702499999999997E-3</v>
          </cell>
        </row>
        <row r="1359">
          <cell r="B1359" t="str">
            <v>Union Pacific</v>
          </cell>
          <cell r="E1359">
            <v>3</v>
          </cell>
          <cell r="F1359">
            <v>3.073597E-3</v>
          </cell>
        </row>
        <row r="1360">
          <cell r="B1360" t="str">
            <v>Union Pacific</v>
          </cell>
          <cell r="E1360">
            <v>3</v>
          </cell>
          <cell r="F1360">
            <v>1.877161E-3</v>
          </cell>
        </row>
        <row r="1361">
          <cell r="B1361" t="str">
            <v>Union Pacific</v>
          </cell>
          <cell r="E1361">
            <v>3</v>
          </cell>
          <cell r="F1361">
            <v>3.9778959999999999E-3</v>
          </cell>
        </row>
        <row r="1362">
          <cell r="B1362" t="str">
            <v>Union Pacific</v>
          </cell>
          <cell r="E1362">
            <v>3</v>
          </cell>
          <cell r="F1362">
            <v>4.881664E-3</v>
          </cell>
        </row>
        <row r="1363">
          <cell r="B1363" t="str">
            <v>Union Pacific</v>
          </cell>
          <cell r="E1363">
            <v>3</v>
          </cell>
          <cell r="F1363">
            <v>3.8837069999999999E-4</v>
          </cell>
        </row>
        <row r="1364">
          <cell r="B1364" t="str">
            <v>Union Pacific</v>
          </cell>
          <cell r="E1364">
            <v>3</v>
          </cell>
          <cell r="F1364">
            <v>2.4889679999999998E-3</v>
          </cell>
        </row>
        <row r="1365">
          <cell r="B1365" t="str">
            <v>Union Pacific</v>
          </cell>
          <cell r="E1365">
            <v>3</v>
          </cell>
          <cell r="F1365">
            <v>1.3886860000000001E-3</v>
          </cell>
        </row>
        <row r="1366">
          <cell r="B1366" t="str">
            <v>Union Pacific</v>
          </cell>
          <cell r="E1366">
            <v>3</v>
          </cell>
          <cell r="F1366">
            <v>9.8681680000000001E-3</v>
          </cell>
        </row>
        <row r="1367">
          <cell r="B1367" t="str">
            <v>Union Pacific</v>
          </cell>
          <cell r="E1367">
            <v>3</v>
          </cell>
          <cell r="F1367">
            <v>1.2346979999999999E-4</v>
          </cell>
        </row>
        <row r="1368">
          <cell r="B1368" t="str">
            <v>Union Pacific</v>
          </cell>
          <cell r="E1368">
            <v>3</v>
          </cell>
          <cell r="F1368">
            <v>7.3600399999999996E-4</v>
          </cell>
        </row>
        <row r="1369">
          <cell r="B1369" t="str">
            <v>Union Pacific</v>
          </cell>
          <cell r="E1369">
            <v>3</v>
          </cell>
          <cell r="F1369">
            <v>7.6528429999999997E-4</v>
          </cell>
        </row>
        <row r="1370">
          <cell r="B1370" t="str">
            <v>Union Pacific</v>
          </cell>
          <cell r="E1370">
            <v>3</v>
          </cell>
          <cell r="F1370">
            <v>1.6700549999999999E-3</v>
          </cell>
        </row>
        <row r="1371">
          <cell r="B1371" t="str">
            <v>Union Pacific</v>
          </cell>
          <cell r="E1371">
            <v>3</v>
          </cell>
          <cell r="F1371">
            <v>3.3102100000000001E-3</v>
          </cell>
        </row>
        <row r="1372">
          <cell r="B1372" t="str">
            <v>Union Pacific</v>
          </cell>
          <cell r="E1372">
            <v>3</v>
          </cell>
          <cell r="F1372">
            <v>3.3101519999999998E-3</v>
          </cell>
        </row>
        <row r="1373">
          <cell r="B1373" t="str">
            <v>Union Pacific</v>
          </cell>
          <cell r="E1373">
            <v>3</v>
          </cell>
          <cell r="F1373">
            <v>4.2994490000000003E-2</v>
          </cell>
        </row>
        <row r="1374">
          <cell r="B1374" t="str">
            <v>Union Pacific</v>
          </cell>
          <cell r="E1374">
            <v>3</v>
          </cell>
          <cell r="F1374">
            <v>6.6202819999999999E-3</v>
          </cell>
        </row>
        <row r="1375">
          <cell r="B1375" t="str">
            <v>Union Pacific</v>
          </cell>
          <cell r="E1375">
            <v>3</v>
          </cell>
          <cell r="F1375">
            <v>1.457496E-3</v>
          </cell>
        </row>
        <row r="1376">
          <cell r="B1376" t="str">
            <v>Union Pacific</v>
          </cell>
          <cell r="E1376">
            <v>3</v>
          </cell>
          <cell r="F1376">
            <v>1.9643249999999999E-5</v>
          </cell>
        </row>
        <row r="1377">
          <cell r="B1377" t="str">
            <v>Union Pacific</v>
          </cell>
          <cell r="E1377">
            <v>3</v>
          </cell>
          <cell r="F1377">
            <v>4.2097280000000003E-3</v>
          </cell>
        </row>
        <row r="1378">
          <cell r="B1378" t="str">
            <v>Union Pacific</v>
          </cell>
          <cell r="E1378">
            <v>3</v>
          </cell>
          <cell r="F1378">
            <v>7.4536669999999998E-3</v>
          </cell>
        </row>
        <row r="1379">
          <cell r="B1379" t="str">
            <v>Union Pacific</v>
          </cell>
          <cell r="E1379">
            <v>3</v>
          </cell>
          <cell r="F1379">
            <v>6.9362130000000005E-4</v>
          </cell>
        </row>
        <row r="1380">
          <cell r="B1380" t="str">
            <v>Union Pacific</v>
          </cell>
          <cell r="E1380">
            <v>3</v>
          </cell>
          <cell r="F1380">
            <v>4.4650590000000004E-3</v>
          </cell>
        </row>
        <row r="1381">
          <cell r="B1381" t="str">
            <v>Union Pacific</v>
          </cell>
          <cell r="E1381">
            <v>3</v>
          </cell>
          <cell r="F1381">
            <v>8.9386670000000002E-4</v>
          </cell>
        </row>
        <row r="1382">
          <cell r="B1382" t="str">
            <v>Union Pacific</v>
          </cell>
          <cell r="E1382">
            <v>3</v>
          </cell>
          <cell r="F1382">
            <v>1.263331E-2</v>
          </cell>
        </row>
        <row r="1383">
          <cell r="B1383" t="str">
            <v>Union Pacific</v>
          </cell>
          <cell r="E1383">
            <v>3</v>
          </cell>
          <cell r="F1383">
            <v>2.5535889999999999E-2</v>
          </cell>
        </row>
        <row r="1384">
          <cell r="B1384" t="str">
            <v>Union Pacific</v>
          </cell>
          <cell r="E1384">
            <v>3</v>
          </cell>
          <cell r="F1384">
            <v>7.1650990000000003E-3</v>
          </cell>
        </row>
        <row r="1385">
          <cell r="B1385" t="str">
            <v>Union Pacific</v>
          </cell>
          <cell r="E1385">
            <v>3</v>
          </cell>
          <cell r="F1385">
            <v>1.056203E-2</v>
          </cell>
        </row>
        <row r="1386">
          <cell r="B1386" t="str">
            <v>Union Pacific</v>
          </cell>
          <cell r="E1386">
            <v>3</v>
          </cell>
          <cell r="F1386">
            <v>4.0571519999999996E-3</v>
          </cell>
        </row>
        <row r="1387">
          <cell r="B1387" t="str">
            <v>Union Pacific</v>
          </cell>
          <cell r="E1387">
            <v>3</v>
          </cell>
          <cell r="F1387">
            <v>2.7894829999999999E-2</v>
          </cell>
        </row>
        <row r="1388">
          <cell r="B1388" t="str">
            <v>Union Pacific</v>
          </cell>
          <cell r="E1388">
            <v>3</v>
          </cell>
          <cell r="F1388">
            <v>0.14473820000000001</v>
          </cell>
        </row>
        <row r="1389">
          <cell r="B1389" t="str">
            <v>Union Pacific</v>
          </cell>
          <cell r="E1389">
            <v>3</v>
          </cell>
          <cell r="F1389">
            <v>2.4594310000000002E-3</v>
          </cell>
        </row>
        <row r="1390">
          <cell r="B1390" t="str">
            <v>Union Pacific</v>
          </cell>
          <cell r="E1390">
            <v>3</v>
          </cell>
          <cell r="F1390">
            <v>2.0892699999999998E-3</v>
          </cell>
        </row>
        <row r="1391">
          <cell r="B1391" t="str">
            <v>Union Pacific</v>
          </cell>
          <cell r="E1391">
            <v>3</v>
          </cell>
          <cell r="F1391">
            <v>2.039842E-2</v>
          </cell>
        </row>
        <row r="1392">
          <cell r="B1392" t="str">
            <v>Union Pacific</v>
          </cell>
          <cell r="E1392">
            <v>3</v>
          </cell>
          <cell r="F1392">
            <v>6.9155270000000003E-4</v>
          </cell>
        </row>
        <row r="1393">
          <cell r="B1393" t="str">
            <v>Union Pacific</v>
          </cell>
          <cell r="E1393">
            <v>3</v>
          </cell>
          <cell r="F1393">
            <v>4.5516769999999996E-3</v>
          </cell>
        </row>
        <row r="1394">
          <cell r="B1394" t="str">
            <v>Union Pacific</v>
          </cell>
          <cell r="E1394">
            <v>3</v>
          </cell>
          <cell r="F1394">
            <v>4.682098E-3</v>
          </cell>
        </row>
        <row r="1395">
          <cell r="B1395" t="str">
            <v>Union Pacific</v>
          </cell>
          <cell r="E1395">
            <v>3</v>
          </cell>
          <cell r="F1395">
            <v>3.6219840000000002E-4</v>
          </cell>
        </row>
        <row r="1396">
          <cell r="B1396" t="str">
            <v>Union Pacific</v>
          </cell>
          <cell r="E1396">
            <v>3</v>
          </cell>
          <cell r="F1396">
            <v>7.8212240000000003E-4</v>
          </cell>
        </row>
        <row r="1397">
          <cell r="B1397" t="str">
            <v>Union Pacific</v>
          </cell>
          <cell r="E1397">
            <v>3</v>
          </cell>
          <cell r="F1397">
            <v>4.784394E-3</v>
          </cell>
        </row>
        <row r="1398">
          <cell r="B1398" t="str">
            <v>Union Pacific</v>
          </cell>
          <cell r="E1398">
            <v>3</v>
          </cell>
          <cell r="F1398">
            <v>1.6707530000000001E-3</v>
          </cell>
        </row>
        <row r="1399">
          <cell r="B1399" t="str">
            <v>Union Pacific</v>
          </cell>
          <cell r="E1399">
            <v>3</v>
          </cell>
          <cell r="F1399">
            <v>1.586918E-2</v>
          </cell>
        </row>
        <row r="1400">
          <cell r="B1400" t="str">
            <v>Union Pacific</v>
          </cell>
          <cell r="E1400">
            <v>3</v>
          </cell>
          <cell r="F1400">
            <v>6.6301089999999993E-2</v>
          </cell>
        </row>
        <row r="1401">
          <cell r="B1401" t="str">
            <v>Union Pacific</v>
          </cell>
          <cell r="E1401">
            <v>3</v>
          </cell>
          <cell r="F1401">
            <v>1.248315E-2</v>
          </cell>
        </row>
        <row r="1402">
          <cell r="B1402" t="str">
            <v>Union Pacific</v>
          </cell>
          <cell r="E1402">
            <v>3</v>
          </cell>
          <cell r="F1402">
            <v>1.560395E-2</v>
          </cell>
        </row>
        <row r="1403">
          <cell r="B1403" t="str">
            <v>Union Pacific</v>
          </cell>
          <cell r="E1403">
            <v>3</v>
          </cell>
          <cell r="F1403">
            <v>3.3628470000000001E-2</v>
          </cell>
        </row>
        <row r="1404">
          <cell r="B1404" t="str">
            <v>Union Pacific</v>
          </cell>
          <cell r="E1404">
            <v>3</v>
          </cell>
          <cell r="F1404">
            <v>9.3624750000000003E-3</v>
          </cell>
        </row>
        <row r="1405">
          <cell r="B1405" t="str">
            <v>Union Pacific</v>
          </cell>
          <cell r="E1405">
            <v>3</v>
          </cell>
          <cell r="F1405">
            <v>6.2459610000000004E-3</v>
          </cell>
        </row>
        <row r="1406">
          <cell r="B1406" t="str">
            <v>Union Pacific</v>
          </cell>
          <cell r="E1406">
            <v>3</v>
          </cell>
          <cell r="F1406">
            <v>6.6590920000000001E-3</v>
          </cell>
        </row>
        <row r="1407">
          <cell r="B1407" t="str">
            <v>Union Pacific</v>
          </cell>
          <cell r="E1407">
            <v>3</v>
          </cell>
          <cell r="F1407">
            <v>1.7173399999999999E-3</v>
          </cell>
        </row>
        <row r="1408">
          <cell r="B1408" t="str">
            <v>Union Pacific</v>
          </cell>
          <cell r="E1408">
            <v>3</v>
          </cell>
          <cell r="F1408">
            <v>3.30643E-3</v>
          </cell>
        </row>
        <row r="1409">
          <cell r="B1409" t="str">
            <v>Union Pacific</v>
          </cell>
          <cell r="E1409">
            <v>3</v>
          </cell>
          <cell r="F1409">
            <v>1.5971409999999999E-4</v>
          </cell>
        </row>
        <row r="1410">
          <cell r="B1410" t="str">
            <v>Union Pacific</v>
          </cell>
          <cell r="E1410">
            <v>3</v>
          </cell>
          <cell r="F1410">
            <v>6.1764809999999997E-4</v>
          </cell>
        </row>
        <row r="1411">
          <cell r="B1411" t="str">
            <v>Union Pacific</v>
          </cell>
          <cell r="E1411">
            <v>3</v>
          </cell>
          <cell r="F1411">
            <v>3.3073120000000002E-3</v>
          </cell>
        </row>
        <row r="1412">
          <cell r="B1412" t="str">
            <v>Union Pacific</v>
          </cell>
          <cell r="E1412">
            <v>3</v>
          </cell>
          <cell r="F1412">
            <v>8.467425E-4</v>
          </cell>
        </row>
        <row r="1413">
          <cell r="B1413" t="str">
            <v>Union Pacific</v>
          </cell>
          <cell r="E1413">
            <v>3</v>
          </cell>
          <cell r="F1413">
            <v>6.9245380000000005E-4</v>
          </cell>
        </row>
        <row r="1414">
          <cell r="B1414" t="str">
            <v>Union Pacific</v>
          </cell>
          <cell r="E1414">
            <v>3</v>
          </cell>
          <cell r="F1414">
            <v>1.0758580000000001E-3</v>
          </cell>
        </row>
        <row r="1415">
          <cell r="B1415" t="str">
            <v>Union Pacific</v>
          </cell>
          <cell r="E1415">
            <v>3</v>
          </cell>
          <cell r="F1415">
            <v>3.3073120000000002E-3</v>
          </cell>
        </row>
        <row r="1416">
          <cell r="B1416" t="str">
            <v>Union Pacific</v>
          </cell>
          <cell r="E1416">
            <v>3</v>
          </cell>
          <cell r="F1416">
            <v>1.305149E-3</v>
          </cell>
        </row>
        <row r="1417">
          <cell r="B1417" t="str">
            <v>Union Pacific</v>
          </cell>
          <cell r="E1417">
            <v>3</v>
          </cell>
          <cell r="F1417">
            <v>5.01157E-6</v>
          </cell>
        </row>
        <row r="1418">
          <cell r="B1418" t="str">
            <v>Union Pacific</v>
          </cell>
          <cell r="E1418">
            <v>3</v>
          </cell>
          <cell r="F1418">
            <v>8.5664859999999999E-4</v>
          </cell>
        </row>
        <row r="1419">
          <cell r="B1419" t="str">
            <v>Union Pacific</v>
          </cell>
          <cell r="E1419">
            <v>3</v>
          </cell>
          <cell r="F1419">
            <v>6.5655949999999998E-4</v>
          </cell>
        </row>
        <row r="1420">
          <cell r="B1420" t="str">
            <v>Union Pacific</v>
          </cell>
          <cell r="E1420">
            <v>3</v>
          </cell>
          <cell r="F1420">
            <v>2.3993069999999998E-3</v>
          </cell>
        </row>
        <row r="1421">
          <cell r="B1421" t="str">
            <v>Union Pacific</v>
          </cell>
          <cell r="E1421">
            <v>3</v>
          </cell>
          <cell r="F1421">
            <v>3.0238869999999998E-3</v>
          </cell>
        </row>
        <row r="1422">
          <cell r="B1422" t="str">
            <v>Union Pacific</v>
          </cell>
          <cell r="E1422">
            <v>3</v>
          </cell>
          <cell r="F1422">
            <v>3.6484070000000002E-3</v>
          </cell>
        </row>
        <row r="1423">
          <cell r="B1423" t="str">
            <v>Union Pacific</v>
          </cell>
          <cell r="E1423">
            <v>3</v>
          </cell>
          <cell r="F1423">
            <v>4.2734390000000004E-3</v>
          </cell>
        </row>
        <row r="1424">
          <cell r="B1424" t="str">
            <v>Union Pacific</v>
          </cell>
          <cell r="E1424">
            <v>3</v>
          </cell>
          <cell r="F1424">
            <v>3.2523589999999998E-3</v>
          </cell>
        </row>
        <row r="1425">
          <cell r="B1425" t="str">
            <v>Union Pacific</v>
          </cell>
          <cell r="E1425">
            <v>3</v>
          </cell>
          <cell r="F1425">
            <v>6.4958450000000001E-3</v>
          </cell>
        </row>
        <row r="1426">
          <cell r="B1426" t="str">
            <v>Union Pacific</v>
          </cell>
          <cell r="E1426">
            <v>3</v>
          </cell>
          <cell r="F1426">
            <v>3.2479430000000001E-3</v>
          </cell>
        </row>
        <row r="1427">
          <cell r="B1427" t="str">
            <v>Union Pacific</v>
          </cell>
          <cell r="E1427">
            <v>3</v>
          </cell>
          <cell r="F1427">
            <v>3.2478239999999998E-3</v>
          </cell>
        </row>
        <row r="1428">
          <cell r="B1428" t="str">
            <v>Union Pacific</v>
          </cell>
          <cell r="E1428">
            <v>3</v>
          </cell>
          <cell r="F1428">
            <v>3.2479610000000002E-3</v>
          </cell>
        </row>
        <row r="1429">
          <cell r="B1429" t="str">
            <v>Union Pacific</v>
          </cell>
          <cell r="E1429">
            <v>3</v>
          </cell>
          <cell r="F1429">
            <v>3.2478239999999998E-3</v>
          </cell>
        </row>
        <row r="1430">
          <cell r="B1430" t="str">
            <v>Union Pacific</v>
          </cell>
          <cell r="E1430">
            <v>3</v>
          </cell>
          <cell r="F1430">
            <v>3.2479610000000002E-3</v>
          </cell>
        </row>
        <row r="1431">
          <cell r="B1431" t="str">
            <v>Union Pacific</v>
          </cell>
          <cell r="E1431">
            <v>3</v>
          </cell>
          <cell r="F1431">
            <v>6.4958450000000001E-3</v>
          </cell>
        </row>
        <row r="1432">
          <cell r="B1432" t="str">
            <v>Union Pacific</v>
          </cell>
          <cell r="E1432">
            <v>3</v>
          </cell>
          <cell r="F1432">
            <v>6.4959220000000003E-3</v>
          </cell>
        </row>
        <row r="1433">
          <cell r="B1433" t="str">
            <v>Union Pacific</v>
          </cell>
          <cell r="E1433">
            <v>3</v>
          </cell>
          <cell r="F1433">
            <v>3.2479610000000002E-3</v>
          </cell>
        </row>
        <row r="1434">
          <cell r="B1434" t="str">
            <v>Union Pacific</v>
          </cell>
          <cell r="E1434">
            <v>3</v>
          </cell>
          <cell r="F1434">
            <v>3.2479610000000002E-3</v>
          </cell>
        </row>
        <row r="1435">
          <cell r="B1435" t="str">
            <v>Union Pacific</v>
          </cell>
          <cell r="E1435">
            <v>3</v>
          </cell>
          <cell r="F1435">
            <v>2.9327289999999998E-3</v>
          </cell>
        </row>
        <row r="1436">
          <cell r="B1436" t="str">
            <v>Union Pacific</v>
          </cell>
          <cell r="E1436">
            <v>3</v>
          </cell>
          <cell r="F1436">
            <v>2.7711680000000001E-3</v>
          </cell>
        </row>
        <row r="1437">
          <cell r="B1437" t="str">
            <v>Union Pacific</v>
          </cell>
          <cell r="E1437">
            <v>3</v>
          </cell>
          <cell r="F1437">
            <v>5.9964090000000003E-3</v>
          </cell>
        </row>
        <row r="1438">
          <cell r="B1438" t="str">
            <v>Union Pacific</v>
          </cell>
          <cell r="E1438">
            <v>3</v>
          </cell>
          <cell r="F1438">
            <v>2.691461E-3</v>
          </cell>
        </row>
        <row r="1439">
          <cell r="B1439" t="str">
            <v>Union Pacific</v>
          </cell>
          <cell r="E1439">
            <v>3</v>
          </cell>
          <cell r="F1439">
            <v>2.6514490000000002E-3</v>
          </cell>
        </row>
        <row r="1440">
          <cell r="B1440" t="str">
            <v>Union Pacific</v>
          </cell>
          <cell r="E1440">
            <v>3</v>
          </cell>
          <cell r="F1440">
            <v>2.5715460000000001E-3</v>
          </cell>
        </row>
        <row r="1441">
          <cell r="B1441" t="str">
            <v>Union Pacific</v>
          </cell>
          <cell r="E1441">
            <v>3</v>
          </cell>
          <cell r="F1441">
            <v>2.531653E-3</v>
          </cell>
        </row>
        <row r="1442">
          <cell r="B1442" t="str">
            <v>Union Pacific</v>
          </cell>
          <cell r="E1442">
            <v>3</v>
          </cell>
          <cell r="F1442">
            <v>2.4915039999999999E-3</v>
          </cell>
        </row>
        <row r="1443">
          <cell r="B1443" t="str">
            <v>Union Pacific</v>
          </cell>
          <cell r="E1443">
            <v>3</v>
          </cell>
          <cell r="F1443">
            <v>2.451356E-3</v>
          </cell>
        </row>
        <row r="1444">
          <cell r="B1444" t="str">
            <v>Union Pacific</v>
          </cell>
          <cell r="E1444">
            <v>3</v>
          </cell>
          <cell r="F1444">
            <v>2.411463E-3</v>
          </cell>
        </row>
        <row r="1445">
          <cell r="B1445" t="str">
            <v>Union Pacific</v>
          </cell>
          <cell r="E1445">
            <v>3</v>
          </cell>
          <cell r="F1445">
            <v>8.8841890000000007E-3</v>
          </cell>
        </row>
        <row r="1446">
          <cell r="B1446" t="str">
            <v>Union Pacific</v>
          </cell>
          <cell r="E1446">
            <v>3</v>
          </cell>
          <cell r="F1446">
            <v>3.2580320000000001E-3</v>
          </cell>
        </row>
        <row r="1447">
          <cell r="B1447" t="str">
            <v>Union Pacific</v>
          </cell>
          <cell r="E1447">
            <v>3</v>
          </cell>
          <cell r="F1447">
            <v>1.680785E-3</v>
          </cell>
        </row>
        <row r="1448">
          <cell r="B1448" t="str">
            <v>Union Pacific</v>
          </cell>
          <cell r="E1448">
            <v>3</v>
          </cell>
          <cell r="F1448">
            <v>9.7810949999999996E-4</v>
          </cell>
        </row>
        <row r="1449">
          <cell r="B1449" t="str">
            <v>Union Pacific</v>
          </cell>
          <cell r="E1449">
            <v>3</v>
          </cell>
          <cell r="F1449">
            <v>8.974319E-2</v>
          </cell>
        </row>
        <row r="1450">
          <cell r="B1450" t="str">
            <v>Union Pacific</v>
          </cell>
          <cell r="E1450">
            <v>3</v>
          </cell>
          <cell r="F1450">
            <v>9.4096909999999998E-4</v>
          </cell>
        </row>
        <row r="1451">
          <cell r="B1451" t="str">
            <v>Union Pacific</v>
          </cell>
          <cell r="E1451">
            <v>3</v>
          </cell>
          <cell r="F1451">
            <v>8.7039639999999998E-3</v>
          </cell>
        </row>
        <row r="1452">
          <cell r="B1452" t="str">
            <v>Union Pacific</v>
          </cell>
          <cell r="E1452">
            <v>3</v>
          </cell>
          <cell r="F1452">
            <v>5.9943310000000003E-3</v>
          </cell>
        </row>
        <row r="1453">
          <cell r="B1453" t="str">
            <v>Union Pacific</v>
          </cell>
          <cell r="E1453">
            <v>3</v>
          </cell>
          <cell r="F1453">
            <v>7.3460030000000003E-3</v>
          </cell>
        </row>
        <row r="1454">
          <cell r="B1454" t="str">
            <v>Union Pacific</v>
          </cell>
          <cell r="E1454">
            <v>3</v>
          </cell>
          <cell r="F1454">
            <v>2.7071840000000001E-3</v>
          </cell>
        </row>
        <row r="1455">
          <cell r="B1455" t="str">
            <v>Union Pacific</v>
          </cell>
          <cell r="E1455">
            <v>3</v>
          </cell>
          <cell r="F1455">
            <v>1.1883410000000001E-2</v>
          </cell>
        </row>
        <row r="1456">
          <cell r="B1456" t="str">
            <v>N/A</v>
          </cell>
          <cell r="E1456">
            <v>2</v>
          </cell>
          <cell r="F1456">
            <v>4.514807E-3</v>
          </cell>
        </row>
        <row r="1457">
          <cell r="B1457" t="str">
            <v>N/A</v>
          </cell>
          <cell r="E1457">
            <v>2</v>
          </cell>
          <cell r="F1457">
            <v>3.6120969999999999E-3</v>
          </cell>
        </row>
        <row r="1458">
          <cell r="B1458" t="str">
            <v>N/A</v>
          </cell>
          <cell r="E1458">
            <v>2</v>
          </cell>
          <cell r="F1458">
            <v>3.6894610000000002E-4</v>
          </cell>
        </row>
        <row r="1459">
          <cell r="B1459" t="str">
            <v>N/A</v>
          </cell>
          <cell r="E1459">
            <v>2</v>
          </cell>
          <cell r="F1459">
            <v>9.1919409999999995E-4</v>
          </cell>
        </row>
        <row r="1460">
          <cell r="B1460" t="str">
            <v>N/A</v>
          </cell>
          <cell r="E1460">
            <v>2</v>
          </cell>
          <cell r="F1460">
            <v>3.2077730000000001E-3</v>
          </cell>
        </row>
        <row r="1461">
          <cell r="B1461" t="str">
            <v>N/A</v>
          </cell>
          <cell r="E1461">
            <v>2</v>
          </cell>
          <cell r="F1461">
            <v>6.2375019999999998E-3</v>
          </cell>
        </row>
        <row r="1462">
          <cell r="B1462" t="str">
            <v>N/A</v>
          </cell>
          <cell r="E1462">
            <v>2</v>
          </cell>
          <cell r="F1462">
            <v>0.17122209999999999</v>
          </cell>
        </row>
        <row r="1463">
          <cell r="B1463" t="str">
            <v>N/A</v>
          </cell>
          <cell r="E1463">
            <v>2</v>
          </cell>
          <cell r="F1463">
            <v>2.1431700000000001E-2</v>
          </cell>
        </row>
        <row r="1464">
          <cell r="B1464" t="str">
            <v>N/A</v>
          </cell>
          <cell r="E1464">
            <v>2</v>
          </cell>
          <cell r="F1464">
            <v>2.8016139999999998E-2</v>
          </cell>
        </row>
        <row r="1465">
          <cell r="B1465" t="str">
            <v>N/A</v>
          </cell>
          <cell r="E1465">
            <v>2</v>
          </cell>
          <cell r="F1465">
            <v>9.3386719999999993E-3</v>
          </cell>
        </row>
        <row r="1466">
          <cell r="B1466" t="str">
            <v>N/A</v>
          </cell>
          <cell r="E1466">
            <v>2</v>
          </cell>
          <cell r="F1466">
            <v>8.781463E-4</v>
          </cell>
        </row>
        <row r="1467">
          <cell r="B1467" t="str">
            <v>N/A</v>
          </cell>
          <cell r="E1467">
            <v>2</v>
          </cell>
          <cell r="F1467">
            <v>1.250735E-2</v>
          </cell>
        </row>
        <row r="1468">
          <cell r="B1468" t="str">
            <v>N/A</v>
          </cell>
          <cell r="E1468">
            <v>2</v>
          </cell>
          <cell r="F1468">
            <v>3.7019210000000002E-4</v>
          </cell>
        </row>
        <row r="1469">
          <cell r="B1469" t="str">
            <v>N/A</v>
          </cell>
          <cell r="E1469">
            <v>2</v>
          </cell>
          <cell r="F1469">
            <v>1.2709419999999999E-3</v>
          </cell>
        </row>
        <row r="1470">
          <cell r="B1470" t="str">
            <v>N/A</v>
          </cell>
          <cell r="E1470">
            <v>2</v>
          </cell>
          <cell r="F1470">
            <v>1.20103E-4</v>
          </cell>
        </row>
        <row r="1471">
          <cell r="B1471" t="str">
            <v>N/A</v>
          </cell>
          <cell r="E1471">
            <v>2</v>
          </cell>
          <cell r="F1471">
            <v>6.5181889999999998E-3</v>
          </cell>
        </row>
        <row r="1472">
          <cell r="B1472" t="str">
            <v>N/A</v>
          </cell>
          <cell r="E1472">
            <v>2</v>
          </cell>
          <cell r="F1472">
            <v>1.5993209999999999E-3</v>
          </cell>
        </row>
        <row r="1473">
          <cell r="B1473" t="str">
            <v>N/A</v>
          </cell>
          <cell r="E1473">
            <v>2</v>
          </cell>
          <cell r="F1473">
            <v>2.1580050000000002E-3</v>
          </cell>
        </row>
        <row r="1474">
          <cell r="B1474" t="str">
            <v>N/A</v>
          </cell>
          <cell r="E1474">
            <v>2</v>
          </cell>
          <cell r="F1474">
            <v>1.380133E-3</v>
          </cell>
        </row>
        <row r="1475">
          <cell r="B1475" t="str">
            <v>N/A</v>
          </cell>
          <cell r="E1475">
            <v>2</v>
          </cell>
          <cell r="F1475">
            <v>2.1192550000000001E-2</v>
          </cell>
        </row>
        <row r="1476">
          <cell r="B1476" t="str">
            <v>N/A</v>
          </cell>
          <cell r="E1476">
            <v>2</v>
          </cell>
          <cell r="F1476">
            <v>1.4492330000000001E-3</v>
          </cell>
        </row>
        <row r="1477">
          <cell r="B1477" t="str">
            <v>N/A</v>
          </cell>
          <cell r="E1477">
            <v>2</v>
          </cell>
          <cell r="F1477">
            <v>1.2874290000000001E-3</v>
          </cell>
        </row>
        <row r="1478">
          <cell r="B1478" t="str">
            <v>N/A</v>
          </cell>
          <cell r="E1478">
            <v>2</v>
          </cell>
          <cell r="F1478">
            <v>5.271591E-3</v>
          </cell>
        </row>
        <row r="1479">
          <cell r="B1479" t="str">
            <v>N/A</v>
          </cell>
          <cell r="E1479">
            <v>2</v>
          </cell>
          <cell r="F1479">
            <v>7.3771420000000004E-2</v>
          </cell>
        </row>
        <row r="1480">
          <cell r="B1480" t="str">
            <v>N/A</v>
          </cell>
          <cell r="E1480">
            <v>2</v>
          </cell>
          <cell r="F1480">
            <v>9.4739709999999994E-3</v>
          </cell>
        </row>
        <row r="1481">
          <cell r="B1481" t="str">
            <v>N/A</v>
          </cell>
          <cell r="E1481">
            <v>2</v>
          </cell>
          <cell r="F1481">
            <v>3.5008510000000001E-3</v>
          </cell>
        </row>
        <row r="1482">
          <cell r="B1482" t="str">
            <v>N/A</v>
          </cell>
          <cell r="E1482">
            <v>2</v>
          </cell>
          <cell r="F1482">
            <v>4.6585389999999997E-3</v>
          </cell>
        </row>
        <row r="1483">
          <cell r="B1483" t="str">
            <v>N/A</v>
          </cell>
          <cell r="E1483">
            <v>2</v>
          </cell>
          <cell r="F1483">
            <v>2.487235E-3</v>
          </cell>
        </row>
        <row r="1484">
          <cell r="B1484" t="str">
            <v>N/A</v>
          </cell>
          <cell r="E1484">
            <v>2</v>
          </cell>
          <cell r="F1484">
            <v>3.1587249999999998E-4</v>
          </cell>
        </row>
        <row r="1485">
          <cell r="B1485" t="str">
            <v>N/A</v>
          </cell>
          <cell r="E1485">
            <v>2</v>
          </cell>
          <cell r="F1485">
            <v>1.4736980000000001E-3</v>
          </cell>
        </row>
        <row r="1486">
          <cell r="B1486" t="str">
            <v>N/A</v>
          </cell>
          <cell r="E1486">
            <v>2</v>
          </cell>
          <cell r="F1486">
            <v>4.5988520000000001E-4</v>
          </cell>
        </row>
        <row r="1487">
          <cell r="B1487" t="str">
            <v>N/A</v>
          </cell>
          <cell r="E1487">
            <v>2</v>
          </cell>
          <cell r="F1487">
            <v>4.7249100000000002E-2</v>
          </cell>
        </row>
        <row r="1488">
          <cell r="B1488" t="str">
            <v>N/A</v>
          </cell>
          <cell r="E1488">
            <v>2</v>
          </cell>
          <cell r="F1488">
            <v>6.6487279999999996E-3</v>
          </cell>
        </row>
        <row r="1489">
          <cell r="B1489" t="str">
            <v>N/A</v>
          </cell>
          <cell r="E1489">
            <v>2</v>
          </cell>
          <cell r="F1489">
            <v>6.6487279999999996E-3</v>
          </cell>
        </row>
        <row r="1490">
          <cell r="B1490" t="str">
            <v>N/A</v>
          </cell>
          <cell r="E1490">
            <v>2</v>
          </cell>
          <cell r="F1490">
            <v>6.6486699999999998E-3</v>
          </cell>
        </row>
        <row r="1491">
          <cell r="B1491" t="str">
            <v>N/A</v>
          </cell>
          <cell r="E1491">
            <v>2</v>
          </cell>
          <cell r="F1491">
            <v>6.6487860000000003E-3</v>
          </cell>
        </row>
        <row r="1492">
          <cell r="B1492" t="str">
            <v>N/A</v>
          </cell>
          <cell r="E1492">
            <v>2</v>
          </cell>
          <cell r="F1492">
            <v>9.8410560000000008E-3</v>
          </cell>
        </row>
        <row r="1493">
          <cell r="B1493" t="str">
            <v>N/A</v>
          </cell>
          <cell r="E1493">
            <v>2</v>
          </cell>
          <cell r="F1493">
            <v>3.8114509999999997E-2</v>
          </cell>
        </row>
        <row r="1494">
          <cell r="B1494" t="str">
            <v>N/A</v>
          </cell>
          <cell r="E1494">
            <v>2</v>
          </cell>
          <cell r="F1494">
            <v>1.2504120000000001E-2</v>
          </cell>
        </row>
        <row r="1495">
          <cell r="B1495" t="str">
            <v>BNSF</v>
          </cell>
          <cell r="E1495">
            <v>2</v>
          </cell>
          <cell r="F1495">
            <v>2.2380949999999998E-3</v>
          </cell>
        </row>
        <row r="1496">
          <cell r="B1496" t="str">
            <v>BNSF</v>
          </cell>
          <cell r="E1496">
            <v>2</v>
          </cell>
          <cell r="F1496">
            <v>3.9757270000000001E-3</v>
          </cell>
        </row>
        <row r="1497">
          <cell r="B1497" t="str">
            <v>BNSF</v>
          </cell>
          <cell r="E1497">
            <v>2</v>
          </cell>
          <cell r="F1497">
            <v>4.6706480000000003E-3</v>
          </cell>
        </row>
        <row r="1498">
          <cell r="B1498" t="str">
            <v>BNSF</v>
          </cell>
          <cell r="E1498">
            <v>2</v>
          </cell>
          <cell r="F1498">
            <v>2.9470619999999999E-2</v>
          </cell>
        </row>
        <row r="1499">
          <cell r="B1499" t="str">
            <v>BNSF</v>
          </cell>
          <cell r="E1499">
            <v>2</v>
          </cell>
          <cell r="F1499">
            <v>1.2043109999999999E-2</v>
          </cell>
        </row>
        <row r="1500">
          <cell r="B1500" t="str">
            <v>BNSF</v>
          </cell>
          <cell r="E1500">
            <v>2</v>
          </cell>
          <cell r="F1500">
            <v>1.4367130000000001E-2</v>
          </cell>
        </row>
        <row r="1501">
          <cell r="B1501" t="str">
            <v>BNSF</v>
          </cell>
          <cell r="E1501">
            <v>2</v>
          </cell>
          <cell r="F1501">
            <v>3.6685450000000001E-3</v>
          </cell>
        </row>
        <row r="1502">
          <cell r="B1502" t="str">
            <v>BNSF</v>
          </cell>
          <cell r="E1502">
            <v>2</v>
          </cell>
          <cell r="F1502">
            <v>5.9062369999999999E-3</v>
          </cell>
        </row>
        <row r="1503">
          <cell r="B1503" t="str">
            <v>BNSF</v>
          </cell>
          <cell r="E1503">
            <v>2</v>
          </cell>
          <cell r="F1503">
            <v>1.801333E-3</v>
          </cell>
        </row>
        <row r="1504">
          <cell r="B1504" t="str">
            <v>BNSF</v>
          </cell>
          <cell r="E1504">
            <v>2</v>
          </cell>
          <cell r="F1504">
            <v>1.0227180000000001E-2</v>
          </cell>
        </row>
        <row r="1505">
          <cell r="B1505" t="str">
            <v>BNSF</v>
          </cell>
          <cell r="E1505">
            <v>2</v>
          </cell>
          <cell r="F1505">
            <v>5.7304010000000004E-3</v>
          </cell>
        </row>
        <row r="1506">
          <cell r="B1506" t="str">
            <v>BNSF</v>
          </cell>
          <cell r="E1506">
            <v>2</v>
          </cell>
          <cell r="F1506">
            <v>6.7156380000000003E-3</v>
          </cell>
        </row>
        <row r="1507">
          <cell r="B1507" t="str">
            <v>BNSF</v>
          </cell>
          <cell r="E1507">
            <v>2</v>
          </cell>
          <cell r="F1507">
            <v>2.841409E-3</v>
          </cell>
        </row>
        <row r="1508">
          <cell r="B1508" t="str">
            <v>BNSF</v>
          </cell>
          <cell r="E1508">
            <v>2</v>
          </cell>
          <cell r="F1508">
            <v>1.317534E-3</v>
          </cell>
        </row>
        <row r="1509">
          <cell r="B1509" t="str">
            <v>BNSF</v>
          </cell>
          <cell r="E1509">
            <v>2</v>
          </cell>
          <cell r="F1509">
            <v>3.3256010000000001E-4</v>
          </cell>
        </row>
        <row r="1510">
          <cell r="B1510" t="str">
            <v>BNSF</v>
          </cell>
          <cell r="E1510">
            <v>2</v>
          </cell>
          <cell r="F1510">
            <v>4.1943659999999997E-3</v>
          </cell>
        </row>
        <row r="1511">
          <cell r="B1511" t="str">
            <v>BNSF</v>
          </cell>
          <cell r="E1511">
            <v>2</v>
          </cell>
          <cell r="F1511">
            <v>2.69532E-2</v>
          </cell>
        </row>
        <row r="1512">
          <cell r="B1512" t="str">
            <v>BNSF</v>
          </cell>
          <cell r="E1512">
            <v>2</v>
          </cell>
          <cell r="F1512">
            <v>7.79271E-4</v>
          </cell>
        </row>
        <row r="1513">
          <cell r="B1513" t="str">
            <v>BNSF</v>
          </cell>
          <cell r="E1513">
            <v>2</v>
          </cell>
          <cell r="F1513">
            <v>1.9731010000000001E-3</v>
          </cell>
        </row>
        <row r="1514">
          <cell r="B1514" t="str">
            <v>BNSF</v>
          </cell>
          <cell r="E1514">
            <v>2</v>
          </cell>
          <cell r="F1514">
            <v>2.7531110000000001E-4</v>
          </cell>
        </row>
        <row r="1515">
          <cell r="B1515" t="str">
            <v>BNSF</v>
          </cell>
          <cell r="E1515">
            <v>2</v>
          </cell>
          <cell r="F1515">
            <v>1.7799689999999999E-4</v>
          </cell>
        </row>
        <row r="1516">
          <cell r="B1516" t="str">
            <v>BNSF</v>
          </cell>
          <cell r="E1516">
            <v>2</v>
          </cell>
          <cell r="F1516">
            <v>1.778653E-3</v>
          </cell>
        </row>
        <row r="1517">
          <cell r="B1517" t="str">
            <v>BNSF</v>
          </cell>
          <cell r="E1517">
            <v>2</v>
          </cell>
          <cell r="F1517">
            <v>8.0816540000000004E-5</v>
          </cell>
        </row>
        <row r="1518">
          <cell r="B1518" t="str">
            <v>BNSF</v>
          </cell>
          <cell r="E1518">
            <v>2</v>
          </cell>
          <cell r="F1518">
            <v>8.8101059999999998E-4</v>
          </cell>
        </row>
        <row r="1519">
          <cell r="B1519" t="str">
            <v>BNSF</v>
          </cell>
          <cell r="E1519">
            <v>2</v>
          </cell>
          <cell r="F1519">
            <v>1.6811630000000001E-3</v>
          </cell>
        </row>
        <row r="1520">
          <cell r="B1520" t="str">
            <v>BNSF</v>
          </cell>
          <cell r="E1520">
            <v>2</v>
          </cell>
          <cell r="F1520">
            <v>7.8356689999999995E-4</v>
          </cell>
        </row>
        <row r="1521">
          <cell r="B1521" t="str">
            <v>BNSF</v>
          </cell>
          <cell r="E1521">
            <v>2</v>
          </cell>
          <cell r="F1521">
            <v>1.5836730000000001E-3</v>
          </cell>
        </row>
        <row r="1522">
          <cell r="B1522" t="str">
            <v>BNSF</v>
          </cell>
          <cell r="E1522">
            <v>2</v>
          </cell>
          <cell r="F1522">
            <v>4.0817910000000004E-3</v>
          </cell>
        </row>
        <row r="1523">
          <cell r="B1523" t="str">
            <v>BNSF</v>
          </cell>
          <cell r="E1523">
            <v>2</v>
          </cell>
          <cell r="F1523">
            <v>2.383867E-3</v>
          </cell>
        </row>
        <row r="1524">
          <cell r="B1524" t="str">
            <v>BNSF</v>
          </cell>
          <cell r="E1524">
            <v>2</v>
          </cell>
          <cell r="F1524">
            <v>4.1960000000000001E-3</v>
          </cell>
        </row>
        <row r="1525">
          <cell r="B1525" t="str">
            <v>BNSF</v>
          </cell>
          <cell r="E1525">
            <v>2</v>
          </cell>
          <cell r="F1525">
            <v>3.1840190000000002E-3</v>
          </cell>
        </row>
        <row r="1526">
          <cell r="B1526" t="str">
            <v>BNSF</v>
          </cell>
          <cell r="E1526">
            <v>2</v>
          </cell>
          <cell r="F1526">
            <v>4.1958660000000004E-3</v>
          </cell>
        </row>
        <row r="1527">
          <cell r="B1527" t="str">
            <v>BNSF</v>
          </cell>
          <cell r="E1527">
            <v>2</v>
          </cell>
          <cell r="F1527">
            <v>3.9843470000000001E-3</v>
          </cell>
        </row>
        <row r="1528">
          <cell r="B1528" t="str">
            <v>BNSF</v>
          </cell>
          <cell r="E1528">
            <v>2</v>
          </cell>
          <cell r="F1528">
            <v>3.6073659999999999E-3</v>
          </cell>
        </row>
        <row r="1529">
          <cell r="B1529" t="str">
            <v>BNSF</v>
          </cell>
          <cell r="E1529">
            <v>2</v>
          </cell>
          <cell r="F1529">
            <v>4.1958660000000004E-3</v>
          </cell>
        </row>
        <row r="1530">
          <cell r="B1530" t="str">
            <v>BNSF</v>
          </cell>
          <cell r="E1530">
            <v>2</v>
          </cell>
          <cell r="F1530">
            <v>2.8072599999999998E-3</v>
          </cell>
        </row>
        <row r="1531">
          <cell r="B1531" t="str">
            <v>BNSF</v>
          </cell>
          <cell r="E1531">
            <v>2</v>
          </cell>
          <cell r="F1531">
            <v>4.195954E-3</v>
          </cell>
        </row>
        <row r="1532">
          <cell r="B1532" t="str">
            <v>BNSF</v>
          </cell>
          <cell r="E1532">
            <v>2</v>
          </cell>
          <cell r="F1532">
            <v>2.0072419999999998E-3</v>
          </cell>
        </row>
        <row r="1533">
          <cell r="B1533" t="str">
            <v>BNSF</v>
          </cell>
          <cell r="E1533">
            <v>2</v>
          </cell>
          <cell r="F1533">
            <v>3.7051660000000002E-3</v>
          </cell>
        </row>
        <row r="1534">
          <cell r="B1534" t="str">
            <v>BNSF</v>
          </cell>
          <cell r="E1534">
            <v>2</v>
          </cell>
          <cell r="F1534">
            <v>1.207177E-3</v>
          </cell>
        </row>
        <row r="1535">
          <cell r="B1535" t="str">
            <v>BNSF</v>
          </cell>
          <cell r="E1535">
            <v>2</v>
          </cell>
          <cell r="F1535">
            <v>4.0724659999999998E-4</v>
          </cell>
        </row>
        <row r="1536">
          <cell r="B1536" t="str">
            <v>Union Pacific</v>
          </cell>
          <cell r="E1536">
            <v>2</v>
          </cell>
          <cell r="F1536">
            <v>7.3914840000000002E-3</v>
          </cell>
        </row>
        <row r="1537">
          <cell r="B1537" t="str">
            <v>Union Pacific</v>
          </cell>
          <cell r="E1537">
            <v>2</v>
          </cell>
          <cell r="F1537">
            <v>3.9620669999999997E-3</v>
          </cell>
        </row>
        <row r="1538">
          <cell r="B1538" t="str">
            <v>Union Pacific</v>
          </cell>
          <cell r="E1538">
            <v>2</v>
          </cell>
          <cell r="F1538">
            <v>3.962124E-3</v>
          </cell>
        </row>
        <row r="1539">
          <cell r="B1539" t="str">
            <v>Union Pacific</v>
          </cell>
          <cell r="E1539">
            <v>2</v>
          </cell>
          <cell r="F1539">
            <v>3.962129E-3</v>
          </cell>
        </row>
        <row r="1540">
          <cell r="B1540" t="str">
            <v>Union Pacific</v>
          </cell>
          <cell r="E1540">
            <v>2</v>
          </cell>
          <cell r="F1540">
            <v>7.1830510000000002E-3</v>
          </cell>
        </row>
        <row r="1541">
          <cell r="B1541" t="str">
            <v>Union Pacific</v>
          </cell>
          <cell r="E1541">
            <v>2</v>
          </cell>
          <cell r="F1541">
            <v>3.9638060000000003E-3</v>
          </cell>
        </row>
        <row r="1542">
          <cell r="B1542" t="str">
            <v>Union Pacific</v>
          </cell>
          <cell r="E1542">
            <v>2</v>
          </cell>
          <cell r="F1542">
            <v>3.4630440000000002E-3</v>
          </cell>
        </row>
        <row r="1543">
          <cell r="B1543" t="str">
            <v>Union Pacific</v>
          </cell>
          <cell r="E1543">
            <v>2</v>
          </cell>
          <cell r="F1543">
            <v>1.694704E-2</v>
          </cell>
        </row>
        <row r="1544">
          <cell r="B1544" t="str">
            <v>Union Pacific</v>
          </cell>
          <cell r="E1544">
            <v>2</v>
          </cell>
          <cell r="F1544">
            <v>1.1783719999999999E-2</v>
          </cell>
        </row>
        <row r="1545">
          <cell r="B1545" t="str">
            <v>Union Pacific</v>
          </cell>
          <cell r="E1545">
            <v>2</v>
          </cell>
          <cell r="F1545">
            <v>1.0472179999999999E-2</v>
          </cell>
        </row>
        <row r="1546">
          <cell r="B1546" t="str">
            <v>Union Pacific</v>
          </cell>
          <cell r="E1546">
            <v>2</v>
          </cell>
          <cell r="F1546">
            <v>6.4881840000000001E-3</v>
          </cell>
        </row>
        <row r="1547">
          <cell r="B1547" t="str">
            <v>Union Pacific</v>
          </cell>
          <cell r="E1547">
            <v>2</v>
          </cell>
          <cell r="F1547">
            <v>1.1700500000000001E-2</v>
          </cell>
        </row>
        <row r="1548">
          <cell r="B1548" t="str">
            <v>Union Pacific</v>
          </cell>
          <cell r="E1548">
            <v>2</v>
          </cell>
          <cell r="F1548">
            <v>5.0578580000000001E-3</v>
          </cell>
        </row>
        <row r="1549">
          <cell r="B1549" t="str">
            <v>Union Pacific</v>
          </cell>
          <cell r="E1549">
            <v>2</v>
          </cell>
          <cell r="F1549">
            <v>3.3110750000000001E-2</v>
          </cell>
        </row>
        <row r="1550">
          <cell r="B1550" t="str">
            <v>Union Pacific</v>
          </cell>
          <cell r="E1550">
            <v>2</v>
          </cell>
          <cell r="F1550">
            <v>1.598948E-3</v>
          </cell>
        </row>
        <row r="1551">
          <cell r="B1551" t="str">
            <v>Union Pacific</v>
          </cell>
          <cell r="E1551">
            <v>2</v>
          </cell>
          <cell r="F1551">
            <v>1.3236980000000001E-3</v>
          </cell>
        </row>
        <row r="1552">
          <cell r="B1552" t="str">
            <v>Union Pacific</v>
          </cell>
          <cell r="E1552">
            <v>2</v>
          </cell>
          <cell r="F1552">
            <v>1.0481920000000001E-3</v>
          </cell>
        </row>
        <row r="1553">
          <cell r="B1553" t="str">
            <v>Union Pacific</v>
          </cell>
          <cell r="E1553">
            <v>2</v>
          </cell>
          <cell r="F1553">
            <v>7.7294219999999995E-4</v>
          </cell>
        </row>
        <row r="1554">
          <cell r="B1554" t="str">
            <v>Union Pacific</v>
          </cell>
          <cell r="E1554">
            <v>2</v>
          </cell>
          <cell r="F1554">
            <v>3.6813530000000001E-3</v>
          </cell>
        </row>
        <row r="1555">
          <cell r="B1555" t="str">
            <v>Union Pacific</v>
          </cell>
          <cell r="E1555">
            <v>2</v>
          </cell>
          <cell r="F1555">
            <v>3.0570179999999999E-3</v>
          </cell>
        </row>
        <row r="1556">
          <cell r="B1556" t="str">
            <v>Union Pacific</v>
          </cell>
          <cell r="E1556">
            <v>2</v>
          </cell>
          <cell r="F1556">
            <v>5.004545E-3</v>
          </cell>
        </row>
        <row r="1557">
          <cell r="B1557" t="str">
            <v>Union Pacific</v>
          </cell>
          <cell r="E1557">
            <v>2</v>
          </cell>
          <cell r="F1557">
            <v>3.1917790000000001E-3</v>
          </cell>
        </row>
        <row r="1558">
          <cell r="B1558" t="str">
            <v>Union Pacific</v>
          </cell>
          <cell r="E1558">
            <v>2</v>
          </cell>
          <cell r="F1558">
            <v>2.1027590000000001E-3</v>
          </cell>
        </row>
        <row r="1559">
          <cell r="B1559" t="str">
            <v>Union Pacific</v>
          </cell>
          <cell r="E1559">
            <v>2</v>
          </cell>
          <cell r="F1559">
            <v>4.5732519999999998E-4</v>
          </cell>
        </row>
        <row r="1560">
          <cell r="B1560" t="str">
            <v>Union Pacific</v>
          </cell>
          <cell r="E1560">
            <v>2</v>
          </cell>
          <cell r="F1560">
            <v>4.9956670000000003E-4</v>
          </cell>
        </row>
        <row r="1561">
          <cell r="B1561" t="str">
            <v>Union Pacific</v>
          </cell>
          <cell r="E1561">
            <v>2</v>
          </cell>
          <cell r="F1561">
            <v>2.1657569999999999E-3</v>
          </cell>
        </row>
        <row r="1562">
          <cell r="B1562" t="str">
            <v>Union Pacific</v>
          </cell>
          <cell r="E1562">
            <v>2</v>
          </cell>
          <cell r="F1562">
            <v>5.2024419999999996E-4</v>
          </cell>
        </row>
        <row r="1563">
          <cell r="B1563" t="str">
            <v>Union Pacific</v>
          </cell>
          <cell r="E1563">
            <v>2</v>
          </cell>
          <cell r="F1563">
            <v>2.1866519999999999E-3</v>
          </cell>
        </row>
        <row r="1564">
          <cell r="B1564" t="str">
            <v>Union Pacific</v>
          </cell>
          <cell r="E1564">
            <v>2</v>
          </cell>
          <cell r="F1564">
            <v>5.4121889999999998E-4</v>
          </cell>
        </row>
        <row r="1565">
          <cell r="B1565" t="str">
            <v>Union Pacific</v>
          </cell>
          <cell r="E1565">
            <v>2</v>
          </cell>
          <cell r="F1565">
            <v>5.6228929999999999E-4</v>
          </cell>
        </row>
        <row r="1566">
          <cell r="B1566" t="str">
            <v>Union Pacific</v>
          </cell>
          <cell r="E1566">
            <v>2</v>
          </cell>
          <cell r="F1566">
            <v>2.2285590000000002E-3</v>
          </cell>
        </row>
        <row r="1567">
          <cell r="B1567" t="str">
            <v>Union Pacific</v>
          </cell>
          <cell r="E1567">
            <v>2</v>
          </cell>
          <cell r="F1567">
            <v>5.83126E-4</v>
          </cell>
        </row>
        <row r="1568">
          <cell r="B1568" t="str">
            <v>Union Pacific</v>
          </cell>
          <cell r="E1568">
            <v>2</v>
          </cell>
          <cell r="F1568">
            <v>2.2493159999999999E-3</v>
          </cell>
        </row>
        <row r="1569">
          <cell r="B1569" t="str">
            <v>Union Pacific</v>
          </cell>
          <cell r="E1569">
            <v>2</v>
          </cell>
          <cell r="F1569">
            <v>6.0394150000000005E-4</v>
          </cell>
        </row>
        <row r="1570">
          <cell r="B1570" t="str">
            <v>Union Pacific</v>
          </cell>
          <cell r="E1570">
            <v>2</v>
          </cell>
          <cell r="F1570">
            <v>6.2469860000000002E-4</v>
          </cell>
        </row>
        <row r="1571">
          <cell r="B1571" t="str">
            <v>Union Pacific</v>
          </cell>
          <cell r="E1571">
            <v>2</v>
          </cell>
          <cell r="F1571">
            <v>6.4551409999999995E-4</v>
          </cell>
        </row>
        <row r="1572">
          <cell r="B1572" t="str">
            <v>Union Pacific</v>
          </cell>
          <cell r="E1572">
            <v>2</v>
          </cell>
          <cell r="F1572">
            <v>6.8691149999999996E-4</v>
          </cell>
        </row>
        <row r="1573">
          <cell r="B1573" t="str">
            <v>Union Pacific</v>
          </cell>
          <cell r="E1573">
            <v>2</v>
          </cell>
          <cell r="F1573">
            <v>7.0792339999999998E-4</v>
          </cell>
        </row>
        <row r="1574">
          <cell r="B1574" t="str">
            <v>Union Pacific</v>
          </cell>
          <cell r="E1574">
            <v>2</v>
          </cell>
          <cell r="F1574">
            <v>2.3741349999999999E-3</v>
          </cell>
        </row>
        <row r="1575">
          <cell r="B1575" t="str">
            <v>Union Pacific</v>
          </cell>
          <cell r="E1575">
            <v>2</v>
          </cell>
          <cell r="F1575">
            <v>4.0401289999999999E-3</v>
          </cell>
        </row>
        <row r="1576">
          <cell r="B1576" t="str">
            <v>Union Pacific</v>
          </cell>
          <cell r="E1576">
            <v>2</v>
          </cell>
          <cell r="F1576">
            <v>2.3947539999999998E-3</v>
          </cell>
        </row>
        <row r="1577">
          <cell r="B1577" t="str">
            <v>Union Pacific</v>
          </cell>
          <cell r="E1577">
            <v>2</v>
          </cell>
          <cell r="F1577">
            <v>4.0608859999999997E-3</v>
          </cell>
        </row>
        <row r="1578">
          <cell r="B1578" t="str">
            <v>Union Pacific</v>
          </cell>
          <cell r="E1578">
            <v>2</v>
          </cell>
          <cell r="F1578">
            <v>2.415511E-3</v>
          </cell>
        </row>
        <row r="1579">
          <cell r="B1579" t="str">
            <v>Union Pacific</v>
          </cell>
          <cell r="E1579">
            <v>2</v>
          </cell>
          <cell r="F1579">
            <v>4.0818399999999998E-3</v>
          </cell>
        </row>
        <row r="1580">
          <cell r="B1580" t="str">
            <v>Union Pacific</v>
          </cell>
          <cell r="E1580">
            <v>2</v>
          </cell>
          <cell r="F1580">
            <v>5.7476369999999999E-3</v>
          </cell>
        </row>
        <row r="1581">
          <cell r="B1581" t="str">
            <v>Union Pacific</v>
          </cell>
          <cell r="E1581">
            <v>2</v>
          </cell>
          <cell r="F1581">
            <v>4.1022619999999997E-3</v>
          </cell>
        </row>
        <row r="1582">
          <cell r="B1582" t="str">
            <v>Union Pacific</v>
          </cell>
          <cell r="E1582">
            <v>2</v>
          </cell>
          <cell r="F1582">
            <v>2.456691E-3</v>
          </cell>
        </row>
        <row r="1583">
          <cell r="B1583" t="str">
            <v>Union Pacific</v>
          </cell>
          <cell r="E1583">
            <v>2</v>
          </cell>
          <cell r="F1583">
            <v>8.1125770000000004E-4</v>
          </cell>
        </row>
        <row r="1584">
          <cell r="B1584" t="str">
            <v>Union Pacific</v>
          </cell>
          <cell r="E1584">
            <v>2</v>
          </cell>
          <cell r="F1584">
            <v>5.788896E-3</v>
          </cell>
        </row>
        <row r="1585">
          <cell r="B1585" t="str">
            <v>Union Pacific</v>
          </cell>
          <cell r="E1585">
            <v>2</v>
          </cell>
          <cell r="F1585">
            <v>4.1435220000000002E-3</v>
          </cell>
        </row>
        <row r="1586">
          <cell r="B1586" t="str">
            <v>Union Pacific</v>
          </cell>
          <cell r="E1586">
            <v>2</v>
          </cell>
          <cell r="F1586">
            <v>5.8095739999999996E-3</v>
          </cell>
        </row>
        <row r="1587">
          <cell r="B1587" t="str">
            <v>Union Pacific</v>
          </cell>
          <cell r="E1587">
            <v>2</v>
          </cell>
          <cell r="F1587">
            <v>7.4754510000000001E-3</v>
          </cell>
        </row>
        <row r="1588">
          <cell r="B1588" t="str">
            <v>Union Pacific</v>
          </cell>
          <cell r="E1588">
            <v>2</v>
          </cell>
          <cell r="F1588">
            <v>1.157995E-2</v>
          </cell>
        </row>
        <row r="1589">
          <cell r="B1589" t="str">
            <v>Union Pacific</v>
          </cell>
          <cell r="E1589">
            <v>2</v>
          </cell>
          <cell r="F1589">
            <v>6.2433469999999998E-2</v>
          </cell>
        </row>
        <row r="1590">
          <cell r="B1590" t="str">
            <v>Union Pacific</v>
          </cell>
          <cell r="E1590">
            <v>2</v>
          </cell>
          <cell r="F1590">
            <v>6.6230129999999996E-3</v>
          </cell>
        </row>
        <row r="1591">
          <cell r="B1591" t="str">
            <v>Union Pacific</v>
          </cell>
          <cell r="E1591">
            <v>2</v>
          </cell>
          <cell r="F1591">
            <v>6.6229339999999996E-3</v>
          </cell>
        </row>
        <row r="1592">
          <cell r="B1592" t="str">
            <v>Union Pacific</v>
          </cell>
          <cell r="E1592">
            <v>2</v>
          </cell>
          <cell r="F1592">
            <v>6.6229339999999996E-3</v>
          </cell>
        </row>
        <row r="1593">
          <cell r="B1593" t="str">
            <v>Union Pacific</v>
          </cell>
          <cell r="E1593">
            <v>2</v>
          </cell>
          <cell r="F1593">
            <v>6.6229549999999998E-3</v>
          </cell>
        </row>
        <row r="1594">
          <cell r="B1594" t="str">
            <v>Union Pacific</v>
          </cell>
          <cell r="E1594">
            <v>2</v>
          </cell>
          <cell r="F1594">
            <v>5.9522990000000003E-3</v>
          </cell>
        </row>
        <row r="1595">
          <cell r="B1595" t="str">
            <v>Union Pacific</v>
          </cell>
          <cell r="E1595">
            <v>2</v>
          </cell>
          <cell r="F1595">
            <v>7.6180379999999997E-3</v>
          </cell>
        </row>
        <row r="1596">
          <cell r="B1596" t="str">
            <v>Union Pacific</v>
          </cell>
          <cell r="E1596">
            <v>2</v>
          </cell>
          <cell r="F1596">
            <v>5.9726629999999996E-3</v>
          </cell>
        </row>
        <row r="1597">
          <cell r="B1597" t="str">
            <v>Union Pacific</v>
          </cell>
          <cell r="E1597">
            <v>2</v>
          </cell>
          <cell r="F1597">
            <v>6.6229549999999998E-3</v>
          </cell>
        </row>
        <row r="1598">
          <cell r="B1598" t="str">
            <v>Union Pacific</v>
          </cell>
          <cell r="E1598">
            <v>2</v>
          </cell>
          <cell r="F1598">
            <v>5.9928890000000004E-3</v>
          </cell>
        </row>
        <row r="1599">
          <cell r="B1599" t="str">
            <v>Union Pacific</v>
          </cell>
          <cell r="E1599">
            <v>2</v>
          </cell>
          <cell r="F1599">
            <v>6.6229549999999998E-3</v>
          </cell>
        </row>
        <row r="1600">
          <cell r="B1600" t="str">
            <v>Union Pacific</v>
          </cell>
          <cell r="E1600">
            <v>2</v>
          </cell>
          <cell r="F1600">
            <v>6.013254E-3</v>
          </cell>
        </row>
        <row r="1601">
          <cell r="B1601" t="str">
            <v>Union Pacific</v>
          </cell>
          <cell r="E1601">
            <v>2</v>
          </cell>
          <cell r="F1601">
            <v>9.9344399999999992E-3</v>
          </cell>
        </row>
        <row r="1602">
          <cell r="B1602" t="str">
            <v>Union Pacific</v>
          </cell>
          <cell r="E1602">
            <v>2</v>
          </cell>
          <cell r="F1602">
            <v>6.6230129999999996E-3</v>
          </cell>
        </row>
        <row r="1603">
          <cell r="B1603" t="str">
            <v>Union Pacific</v>
          </cell>
          <cell r="E1603">
            <v>2</v>
          </cell>
          <cell r="F1603">
            <v>6.6230129999999996E-3</v>
          </cell>
        </row>
        <row r="1604">
          <cell r="B1604" t="str">
            <v>Union Pacific</v>
          </cell>
          <cell r="E1604">
            <v>2</v>
          </cell>
          <cell r="F1604">
            <v>6.6230129999999996E-3</v>
          </cell>
        </row>
        <row r="1605">
          <cell r="B1605" t="str">
            <v>Union Pacific</v>
          </cell>
          <cell r="E1605">
            <v>2</v>
          </cell>
          <cell r="F1605">
            <v>9.9345200000000005E-3</v>
          </cell>
        </row>
        <row r="1606">
          <cell r="B1606" t="str">
            <v>Union Pacific</v>
          </cell>
          <cell r="E1606">
            <v>2</v>
          </cell>
          <cell r="F1606">
            <v>0.1145085</v>
          </cell>
        </row>
        <row r="1607">
          <cell r="B1607" t="str">
            <v>Union Pacific</v>
          </cell>
          <cell r="E1607">
            <v>2</v>
          </cell>
          <cell r="F1607">
            <v>4.1539740000000004E-3</v>
          </cell>
        </row>
        <row r="1608">
          <cell r="B1608" t="str">
            <v>Union Pacific</v>
          </cell>
          <cell r="E1608">
            <v>2</v>
          </cell>
          <cell r="F1608">
            <v>6.3914970000000003E-3</v>
          </cell>
        </row>
        <row r="1609">
          <cell r="B1609" t="str">
            <v>Union Pacific</v>
          </cell>
          <cell r="E1609">
            <v>2</v>
          </cell>
          <cell r="F1609">
            <v>6.391618E-3</v>
          </cell>
        </row>
        <row r="1610">
          <cell r="B1610" t="str">
            <v>Union Pacific</v>
          </cell>
          <cell r="E1610">
            <v>2</v>
          </cell>
          <cell r="F1610">
            <v>2.3965520000000001E-2</v>
          </cell>
        </row>
        <row r="1611">
          <cell r="B1611" t="str">
            <v>Union Pacific</v>
          </cell>
          <cell r="E1611">
            <v>2</v>
          </cell>
          <cell r="F1611">
            <v>9.4733519999999996E-4</v>
          </cell>
        </row>
        <row r="1612">
          <cell r="B1612" t="str">
            <v>Union Pacific</v>
          </cell>
          <cell r="E1612">
            <v>2</v>
          </cell>
          <cell r="F1612">
            <v>2.755127E-3</v>
          </cell>
        </row>
        <row r="1613">
          <cell r="B1613" t="str">
            <v>Union Pacific</v>
          </cell>
          <cell r="E1613">
            <v>2</v>
          </cell>
          <cell r="F1613">
            <v>3.619788E-4</v>
          </cell>
        </row>
        <row r="1614">
          <cell r="B1614" t="str">
            <v>Union Pacific</v>
          </cell>
          <cell r="E1614">
            <v>2</v>
          </cell>
          <cell r="F1614">
            <v>8.4450519999999998E-3</v>
          </cell>
        </row>
        <row r="1615">
          <cell r="B1615" t="str">
            <v>Union Pacific</v>
          </cell>
          <cell r="E1615">
            <v>2</v>
          </cell>
          <cell r="F1615">
            <v>1.26614E-3</v>
          </cell>
        </row>
        <row r="1616">
          <cell r="B1616" t="str">
            <v>Union Pacific</v>
          </cell>
          <cell r="E1616">
            <v>2</v>
          </cell>
          <cell r="F1616">
            <v>3.296916E-3</v>
          </cell>
        </row>
        <row r="1617">
          <cell r="B1617" t="str">
            <v>Union Pacific</v>
          </cell>
          <cell r="E1617">
            <v>2</v>
          </cell>
          <cell r="F1617">
            <v>3.2968569999999998E-3</v>
          </cell>
        </row>
        <row r="1618">
          <cell r="B1618" t="str">
            <v>Union Pacific</v>
          </cell>
          <cell r="E1618">
            <v>2</v>
          </cell>
          <cell r="F1618">
            <v>3.296916E-3</v>
          </cell>
        </row>
        <row r="1619">
          <cell r="B1619" t="str">
            <v>Union Pacific</v>
          </cell>
          <cell r="E1619">
            <v>2</v>
          </cell>
          <cell r="F1619">
            <v>3.296916E-3</v>
          </cell>
        </row>
        <row r="1620">
          <cell r="B1620" t="str">
            <v>Union Pacific</v>
          </cell>
          <cell r="E1620">
            <v>2</v>
          </cell>
          <cell r="F1620">
            <v>3.296916E-3</v>
          </cell>
        </row>
        <row r="1621">
          <cell r="B1621" t="str">
            <v>Union Pacific</v>
          </cell>
          <cell r="E1621">
            <v>2</v>
          </cell>
          <cell r="F1621">
            <v>6.593832E-3</v>
          </cell>
        </row>
        <row r="1622">
          <cell r="B1622" t="str">
            <v>Union Pacific</v>
          </cell>
          <cell r="E1622">
            <v>2</v>
          </cell>
          <cell r="F1622">
            <v>1.1602899999999999E-2</v>
          </cell>
        </row>
        <row r="1623">
          <cell r="B1623" t="str">
            <v>Union Pacific</v>
          </cell>
          <cell r="E1623">
            <v>2</v>
          </cell>
          <cell r="F1623">
            <v>9.8907479999999996E-3</v>
          </cell>
        </row>
        <row r="1624">
          <cell r="B1624" t="str">
            <v>Union Pacific</v>
          </cell>
          <cell r="E1624">
            <v>2</v>
          </cell>
          <cell r="F1624">
            <v>3.2968569999999998E-3</v>
          </cell>
        </row>
        <row r="1625">
          <cell r="B1625" t="str">
            <v>Union Pacific</v>
          </cell>
          <cell r="E1625">
            <v>2</v>
          </cell>
          <cell r="F1625">
            <v>6.5937529999999999E-3</v>
          </cell>
        </row>
        <row r="1626">
          <cell r="B1626" t="str">
            <v>Union Pacific</v>
          </cell>
          <cell r="E1626">
            <v>2</v>
          </cell>
          <cell r="F1626">
            <v>4.2971520000000003E-3</v>
          </cell>
        </row>
        <row r="1627">
          <cell r="B1627" t="str">
            <v>Union Pacific</v>
          </cell>
          <cell r="E1627">
            <v>2</v>
          </cell>
          <cell r="F1627">
            <v>6.3978280000000004E-3</v>
          </cell>
        </row>
        <row r="1628">
          <cell r="B1628" t="str">
            <v>Union Pacific</v>
          </cell>
          <cell r="E1628">
            <v>2</v>
          </cell>
          <cell r="F1628">
            <v>5.201392E-3</v>
          </cell>
        </row>
        <row r="1629">
          <cell r="B1629" t="str">
            <v>Union Pacific</v>
          </cell>
          <cell r="E1629">
            <v>2</v>
          </cell>
          <cell r="F1629">
            <v>9.5022979999999993E-3</v>
          </cell>
        </row>
        <row r="1630">
          <cell r="B1630" t="str">
            <v>Union Pacific</v>
          </cell>
          <cell r="E1630">
            <v>2</v>
          </cell>
          <cell r="F1630">
            <v>6.593832E-3</v>
          </cell>
        </row>
        <row r="1631">
          <cell r="B1631" t="str">
            <v>Union Pacific</v>
          </cell>
          <cell r="E1631">
            <v>2</v>
          </cell>
          <cell r="F1631">
            <v>6.1054159999999998E-3</v>
          </cell>
        </row>
        <row r="1632">
          <cell r="B1632" t="str">
            <v>Union Pacific</v>
          </cell>
          <cell r="E1632">
            <v>2</v>
          </cell>
          <cell r="F1632">
            <v>1.816943E-2</v>
          </cell>
        </row>
        <row r="1633">
          <cell r="B1633" t="str">
            <v>Union Pacific</v>
          </cell>
          <cell r="E1633">
            <v>2</v>
          </cell>
          <cell r="F1633">
            <v>6.593832E-3</v>
          </cell>
        </row>
        <row r="1634">
          <cell r="B1634" t="str">
            <v>Union Pacific</v>
          </cell>
          <cell r="E1634">
            <v>2</v>
          </cell>
          <cell r="F1634">
            <v>6.593832E-3</v>
          </cell>
        </row>
        <row r="1635">
          <cell r="B1635" t="str">
            <v>Union Pacific</v>
          </cell>
          <cell r="E1635">
            <v>2</v>
          </cell>
          <cell r="F1635">
            <v>9.8906689999999995E-3</v>
          </cell>
        </row>
        <row r="1636">
          <cell r="B1636" t="str">
            <v>Union Pacific</v>
          </cell>
          <cell r="E1636">
            <v>2</v>
          </cell>
          <cell r="F1636">
            <v>4.2646240000000002E-2</v>
          </cell>
        </row>
        <row r="1637">
          <cell r="B1637" t="str">
            <v>Union Pacific</v>
          </cell>
          <cell r="E1637">
            <v>2</v>
          </cell>
          <cell r="F1637">
            <v>3.7916730000000003E-2</v>
          </cell>
        </row>
        <row r="1638">
          <cell r="B1638" t="str">
            <v>Union Pacific</v>
          </cell>
          <cell r="E1638">
            <v>2</v>
          </cell>
          <cell r="F1638">
            <v>6.4545619999999996E-3</v>
          </cell>
        </row>
        <row r="1639">
          <cell r="B1639" t="str">
            <v>Union Pacific</v>
          </cell>
          <cell r="E1639">
            <v>2</v>
          </cell>
          <cell r="F1639">
            <v>5.2585779999999999E-3</v>
          </cell>
        </row>
        <row r="1640">
          <cell r="B1640" t="str">
            <v>Union Pacific</v>
          </cell>
          <cell r="E1640">
            <v>2</v>
          </cell>
          <cell r="F1640">
            <v>6.5937729999999998E-3</v>
          </cell>
        </row>
        <row r="1641">
          <cell r="B1641" t="str">
            <v>Union Pacific</v>
          </cell>
          <cell r="E1641">
            <v>2</v>
          </cell>
          <cell r="F1641">
            <v>6.1632700000000002E-3</v>
          </cell>
        </row>
        <row r="1642">
          <cell r="B1642" t="str">
            <v>Union Pacific</v>
          </cell>
          <cell r="E1642">
            <v>2</v>
          </cell>
          <cell r="F1642">
            <v>3.2967780000000002E-3</v>
          </cell>
        </row>
        <row r="1643">
          <cell r="B1643" t="str">
            <v>Union Pacific</v>
          </cell>
          <cell r="E1643">
            <v>2</v>
          </cell>
          <cell r="F1643">
            <v>2.091092E-2</v>
          </cell>
        </row>
        <row r="1644">
          <cell r="B1644" t="str">
            <v>Union Pacific</v>
          </cell>
          <cell r="E1644">
            <v>2</v>
          </cell>
          <cell r="F1644">
            <v>3.311393E-2</v>
          </cell>
        </row>
        <row r="1645">
          <cell r="B1645" t="str">
            <v>Union Pacific</v>
          </cell>
          <cell r="E1645">
            <v>2</v>
          </cell>
          <cell r="F1645">
            <v>8.5849120000000001E-3</v>
          </cell>
        </row>
        <row r="1646">
          <cell r="B1646" t="str">
            <v>Union Pacific</v>
          </cell>
          <cell r="E1646">
            <v>2</v>
          </cell>
          <cell r="F1646">
            <v>7.3889280000000003E-3</v>
          </cell>
        </row>
        <row r="1647">
          <cell r="B1647" t="str">
            <v>Union Pacific</v>
          </cell>
          <cell r="E1647">
            <v>2</v>
          </cell>
          <cell r="F1647">
            <v>5.476545E-2</v>
          </cell>
        </row>
        <row r="1648">
          <cell r="B1648" t="str">
            <v>Union Pacific</v>
          </cell>
          <cell r="E1648">
            <v>2</v>
          </cell>
          <cell r="F1648">
            <v>2.2094720000000002E-2</v>
          </cell>
        </row>
        <row r="1649">
          <cell r="B1649" t="str">
            <v>Union Pacific</v>
          </cell>
          <cell r="E1649">
            <v>2</v>
          </cell>
          <cell r="F1649">
            <v>3.4991010000000003E-2</v>
          </cell>
        </row>
        <row r="1650">
          <cell r="B1650" t="str">
            <v>Union Pacific</v>
          </cell>
          <cell r="E1650">
            <v>2</v>
          </cell>
          <cell r="F1650">
            <v>3.2968569999999998E-3</v>
          </cell>
        </row>
        <row r="1651">
          <cell r="B1651" t="str">
            <v>Union Pacific</v>
          </cell>
          <cell r="E1651">
            <v>2</v>
          </cell>
          <cell r="F1651">
            <v>0.14927950000000001</v>
          </cell>
        </row>
        <row r="1652">
          <cell r="B1652" t="str">
            <v>Union Pacific</v>
          </cell>
          <cell r="E1652">
            <v>2</v>
          </cell>
          <cell r="F1652">
            <v>0.1386889</v>
          </cell>
        </row>
        <row r="1653">
          <cell r="B1653" t="str">
            <v>Union Pacific</v>
          </cell>
          <cell r="E1653">
            <v>2</v>
          </cell>
          <cell r="F1653">
            <v>0.12827730000000001</v>
          </cell>
        </row>
        <row r="1654">
          <cell r="B1654" t="str">
            <v>Union Pacific</v>
          </cell>
          <cell r="E1654">
            <v>2</v>
          </cell>
          <cell r="F1654">
            <v>8.1220909999999993E-2</v>
          </cell>
        </row>
        <row r="1655">
          <cell r="B1655" t="str">
            <v>Union Pacific</v>
          </cell>
          <cell r="E1655">
            <v>2</v>
          </cell>
          <cell r="F1655">
            <v>3.3474189999999999E-3</v>
          </cell>
        </row>
        <row r="1656">
          <cell r="B1656" t="str">
            <v>Union Pacific</v>
          </cell>
          <cell r="E1656">
            <v>2</v>
          </cell>
          <cell r="F1656">
            <v>7.7378730000000001E-3</v>
          </cell>
        </row>
        <row r="1657">
          <cell r="B1657" t="str">
            <v>Union Pacific</v>
          </cell>
          <cell r="E1657">
            <v>2</v>
          </cell>
          <cell r="F1657">
            <v>8.7119180000000004E-2</v>
          </cell>
        </row>
        <row r="1658">
          <cell r="B1658" t="str">
            <v>Union Pacific</v>
          </cell>
          <cell r="E1658">
            <v>2</v>
          </cell>
          <cell r="F1658">
            <v>4.0244949999999999E-4</v>
          </cell>
        </row>
        <row r="1659">
          <cell r="B1659" t="str">
            <v>Union Pacific</v>
          </cell>
          <cell r="E1659">
            <v>2</v>
          </cell>
          <cell r="F1659">
            <v>3.1767940000000001E-3</v>
          </cell>
        </row>
        <row r="1660">
          <cell r="B1660" t="str">
            <v>Union Pacific</v>
          </cell>
          <cell r="E1660">
            <v>2</v>
          </cell>
          <cell r="F1660">
            <v>2.5691360000000001E-3</v>
          </cell>
        </row>
        <row r="1661">
          <cell r="B1661" t="str">
            <v>Union Pacific</v>
          </cell>
          <cell r="E1661">
            <v>2</v>
          </cell>
          <cell r="F1661">
            <v>1.961324E-3</v>
          </cell>
        </row>
        <row r="1662">
          <cell r="B1662" t="str">
            <v>Union Pacific</v>
          </cell>
          <cell r="E1662">
            <v>2</v>
          </cell>
          <cell r="F1662">
            <v>1.3536150000000001E-3</v>
          </cell>
        </row>
        <row r="1663">
          <cell r="B1663" t="str">
            <v>Union Pacific</v>
          </cell>
          <cell r="E1663">
            <v>2</v>
          </cell>
          <cell r="F1663">
            <v>5.0663569999999998E-2</v>
          </cell>
        </row>
        <row r="1664">
          <cell r="B1664" t="str">
            <v>Union Pacific</v>
          </cell>
          <cell r="E1664">
            <v>2</v>
          </cell>
          <cell r="F1664">
            <v>2.6080699999999998E-2</v>
          </cell>
        </row>
        <row r="1665">
          <cell r="B1665" t="str">
            <v>Union Pacific</v>
          </cell>
          <cell r="E1665">
            <v>2</v>
          </cell>
          <cell r="F1665">
            <v>1.5471689999999999E-3</v>
          </cell>
        </row>
        <row r="1666">
          <cell r="B1666" t="str">
            <v>Union Pacific</v>
          </cell>
          <cell r="E1666">
            <v>2</v>
          </cell>
          <cell r="F1666">
            <v>1.7365740000000001E-3</v>
          </cell>
        </row>
        <row r="1667">
          <cell r="B1667" t="str">
            <v>Union Pacific</v>
          </cell>
          <cell r="E1667">
            <v>2</v>
          </cell>
          <cell r="F1667">
            <v>1.34464E-3</v>
          </cell>
        </row>
        <row r="1668">
          <cell r="B1668" t="str">
            <v>Union Pacific</v>
          </cell>
          <cell r="E1668">
            <v>2</v>
          </cell>
          <cell r="F1668">
            <v>1.2142190000000001E-3</v>
          </cell>
        </row>
        <row r="1669">
          <cell r="B1669" t="str">
            <v>Union Pacific</v>
          </cell>
          <cell r="E1669">
            <v>2</v>
          </cell>
          <cell r="F1669">
            <v>1.083536E-3</v>
          </cell>
        </row>
        <row r="1670">
          <cell r="B1670" t="str">
            <v>Union Pacific</v>
          </cell>
          <cell r="E1670">
            <v>2</v>
          </cell>
          <cell r="F1670">
            <v>9.5289150000000004E-4</v>
          </cell>
        </row>
        <row r="1671">
          <cell r="B1671" t="str">
            <v>Union Pacific</v>
          </cell>
          <cell r="E1671">
            <v>2</v>
          </cell>
          <cell r="F1671">
            <v>5.1128079999999999E-3</v>
          </cell>
        </row>
        <row r="1672">
          <cell r="B1672" t="str">
            <v>Union Pacific</v>
          </cell>
          <cell r="E1672">
            <v>2</v>
          </cell>
          <cell r="F1672">
            <v>4.4210320000000001E-3</v>
          </cell>
        </row>
        <row r="1673">
          <cell r="B1673" t="str">
            <v>Union Pacific</v>
          </cell>
          <cell r="E1673">
            <v>2</v>
          </cell>
          <cell r="F1673">
            <v>4.0023189999999998E-3</v>
          </cell>
        </row>
        <row r="1674">
          <cell r="B1674" t="str">
            <v>Union Pacific</v>
          </cell>
          <cell r="E1674">
            <v>2</v>
          </cell>
          <cell r="F1674">
            <v>1.062265E-3</v>
          </cell>
        </row>
        <row r="1675">
          <cell r="B1675" t="str">
            <v>Union Pacific</v>
          </cell>
          <cell r="E1675">
            <v>2</v>
          </cell>
          <cell r="F1675">
            <v>1.253592E-3</v>
          </cell>
        </row>
        <row r="1676">
          <cell r="B1676" t="str">
            <v>Union Pacific</v>
          </cell>
          <cell r="E1676">
            <v>2</v>
          </cell>
          <cell r="F1676">
            <v>1.8120319999999999E-2</v>
          </cell>
        </row>
        <row r="1677">
          <cell r="B1677" t="str">
            <v>Union Pacific</v>
          </cell>
          <cell r="E1677">
            <v>2</v>
          </cell>
          <cell r="F1677">
            <v>4.5770769999999997E-3</v>
          </cell>
        </row>
        <row r="1678">
          <cell r="B1678" t="str">
            <v>Union Pacific</v>
          </cell>
          <cell r="E1678">
            <v>2</v>
          </cell>
          <cell r="F1678">
            <v>1.558726E-2</v>
          </cell>
        </row>
        <row r="1679">
          <cell r="B1679" t="str">
            <v>Union Pacific</v>
          </cell>
          <cell r="E1679">
            <v>2</v>
          </cell>
          <cell r="F1679">
            <v>1.24589E-2</v>
          </cell>
        </row>
        <row r="1680">
          <cell r="B1680" t="str">
            <v>Union Pacific</v>
          </cell>
          <cell r="E1680">
            <v>2</v>
          </cell>
          <cell r="F1680">
            <v>9.3515419999999991E-3</v>
          </cell>
        </row>
        <row r="1681">
          <cell r="B1681" t="str">
            <v>Union Pacific</v>
          </cell>
          <cell r="E1681">
            <v>2</v>
          </cell>
          <cell r="F1681">
            <v>9.3515419999999991E-3</v>
          </cell>
        </row>
        <row r="1682">
          <cell r="B1682" t="str">
            <v>Union Pacific</v>
          </cell>
          <cell r="E1682">
            <v>2</v>
          </cell>
          <cell r="F1682">
            <v>4.989238E-2</v>
          </cell>
        </row>
        <row r="1683">
          <cell r="B1683" t="str">
            <v>Union Pacific</v>
          </cell>
          <cell r="E1683">
            <v>2</v>
          </cell>
          <cell r="F1683">
            <v>5.1214049999999997E-2</v>
          </cell>
        </row>
        <row r="1684">
          <cell r="B1684" t="str">
            <v>Union Pacific</v>
          </cell>
          <cell r="E1684">
            <v>2</v>
          </cell>
          <cell r="F1684">
            <v>0.1122326</v>
          </cell>
        </row>
        <row r="1685">
          <cell r="B1685" t="str">
            <v>Union Pacific</v>
          </cell>
          <cell r="E1685">
            <v>2</v>
          </cell>
          <cell r="F1685">
            <v>9.3514170000000008E-3</v>
          </cell>
        </row>
        <row r="1686">
          <cell r="B1686" t="str">
            <v>Union Pacific</v>
          </cell>
          <cell r="E1686">
            <v>2</v>
          </cell>
          <cell r="F1686">
            <v>1.7688720000000002E-2</v>
          </cell>
        </row>
        <row r="1687">
          <cell r="B1687" t="str">
            <v>Union Pacific</v>
          </cell>
          <cell r="E1687">
            <v>2</v>
          </cell>
          <cell r="F1687">
            <v>3.1207409999999998E-3</v>
          </cell>
        </row>
        <row r="1688">
          <cell r="B1688" t="str">
            <v>Union Pacific</v>
          </cell>
          <cell r="E1688">
            <v>2</v>
          </cell>
          <cell r="F1688">
            <v>6.9417840000000003E-3</v>
          </cell>
        </row>
        <row r="1689">
          <cell r="B1689" t="str">
            <v>Union Pacific</v>
          </cell>
          <cell r="E1689">
            <v>2</v>
          </cell>
          <cell r="F1689">
            <v>2.5408850000000001E-3</v>
          </cell>
        </row>
        <row r="1690">
          <cell r="B1690" t="str">
            <v>Union Pacific</v>
          </cell>
          <cell r="E1690">
            <v>2</v>
          </cell>
          <cell r="F1690">
            <v>2.6433170000000001E-3</v>
          </cell>
        </row>
        <row r="1691">
          <cell r="B1691" t="str">
            <v>Union Pacific</v>
          </cell>
          <cell r="E1691">
            <v>2</v>
          </cell>
          <cell r="F1691">
            <v>1.6457189999999999E-3</v>
          </cell>
        </row>
        <row r="1692">
          <cell r="B1692" t="str">
            <v>Union Pacific</v>
          </cell>
          <cell r="E1692">
            <v>2</v>
          </cell>
          <cell r="F1692">
            <v>2.425502E-3</v>
          </cell>
        </row>
        <row r="1693">
          <cell r="B1693" t="str">
            <v>Union Pacific</v>
          </cell>
          <cell r="E1693">
            <v>2</v>
          </cell>
          <cell r="F1693">
            <v>6.4959220000000003E-3</v>
          </cell>
        </row>
        <row r="1694">
          <cell r="B1694" t="str">
            <v>Union Pacific</v>
          </cell>
          <cell r="E1694">
            <v>2</v>
          </cell>
          <cell r="F1694">
            <v>6.4959220000000003E-3</v>
          </cell>
        </row>
        <row r="1695">
          <cell r="B1695" t="str">
            <v>Union Pacific</v>
          </cell>
          <cell r="E1695">
            <v>2</v>
          </cell>
          <cell r="F1695">
            <v>8.2187709999999997E-3</v>
          </cell>
        </row>
        <row r="1696">
          <cell r="B1696" t="str">
            <v>Union Pacific</v>
          </cell>
          <cell r="E1696">
            <v>2</v>
          </cell>
          <cell r="F1696">
            <v>1.021119E-3</v>
          </cell>
        </row>
        <row r="1697">
          <cell r="B1697" t="str">
            <v>Union Pacific</v>
          </cell>
          <cell r="E1697">
            <v>2</v>
          </cell>
          <cell r="F1697">
            <v>3.2479610000000002E-3</v>
          </cell>
        </row>
        <row r="1698">
          <cell r="B1698" t="str">
            <v>Union Pacific</v>
          </cell>
          <cell r="E1698">
            <v>2</v>
          </cell>
          <cell r="F1698">
            <v>6.4957849999999996E-3</v>
          </cell>
        </row>
        <row r="1699">
          <cell r="B1699" t="str">
            <v>Union Pacific</v>
          </cell>
          <cell r="E1699">
            <v>2</v>
          </cell>
          <cell r="F1699">
            <v>6.4957849999999996E-3</v>
          </cell>
        </row>
        <row r="1700">
          <cell r="B1700" t="str">
            <v>Union Pacific</v>
          </cell>
          <cell r="E1700">
            <v>2</v>
          </cell>
          <cell r="F1700">
            <v>3.2648E-3</v>
          </cell>
        </row>
        <row r="1701">
          <cell r="B1701" t="str">
            <v>Union Pacific</v>
          </cell>
          <cell r="E1701">
            <v>2</v>
          </cell>
          <cell r="F1701">
            <v>3.2648E-3</v>
          </cell>
        </row>
        <row r="1702">
          <cell r="B1702" t="str">
            <v>Union Pacific</v>
          </cell>
          <cell r="E1702">
            <v>2</v>
          </cell>
          <cell r="F1702">
            <v>3.2648E-3</v>
          </cell>
        </row>
        <row r="1703">
          <cell r="B1703" t="str">
            <v>Union Pacific</v>
          </cell>
          <cell r="E1703">
            <v>2</v>
          </cell>
          <cell r="F1703">
            <v>3.2648E-3</v>
          </cell>
        </row>
        <row r="1704">
          <cell r="B1704" t="str">
            <v>Union Pacific</v>
          </cell>
          <cell r="E1704">
            <v>2</v>
          </cell>
          <cell r="F1704">
            <v>3.2648E-3</v>
          </cell>
        </row>
        <row r="1705">
          <cell r="B1705" t="str">
            <v>Union Pacific</v>
          </cell>
          <cell r="E1705">
            <v>2</v>
          </cell>
          <cell r="F1705">
            <v>5.8762969999999999E-3</v>
          </cell>
        </row>
        <row r="1706">
          <cell r="B1706" t="str">
            <v>Union Pacific</v>
          </cell>
          <cell r="E1706">
            <v>2</v>
          </cell>
          <cell r="F1706">
            <v>3.2648590000000002E-3</v>
          </cell>
        </row>
        <row r="1707">
          <cell r="B1707" t="str">
            <v>Union Pacific</v>
          </cell>
          <cell r="E1707">
            <v>2</v>
          </cell>
          <cell r="F1707">
            <v>3.2648590000000002E-3</v>
          </cell>
        </row>
        <row r="1708">
          <cell r="B1708" t="str">
            <v>Union Pacific</v>
          </cell>
          <cell r="E1708">
            <v>2</v>
          </cell>
          <cell r="F1708">
            <v>3.2648E-3</v>
          </cell>
        </row>
        <row r="1709">
          <cell r="B1709" t="str">
            <v>Union Pacific</v>
          </cell>
          <cell r="E1709">
            <v>2</v>
          </cell>
          <cell r="F1709">
            <v>6.5297369999999999E-3</v>
          </cell>
        </row>
        <row r="1710">
          <cell r="B1710" t="str">
            <v>Union Pacific</v>
          </cell>
          <cell r="E1710">
            <v>2</v>
          </cell>
          <cell r="F1710">
            <v>6.5297369999999999E-3</v>
          </cell>
        </row>
        <row r="1711">
          <cell r="B1711" t="str">
            <v>Union Pacific</v>
          </cell>
          <cell r="E1711">
            <v>2</v>
          </cell>
          <cell r="F1711">
            <v>4.4840009999999996E-3</v>
          </cell>
        </row>
        <row r="1712">
          <cell r="B1712" t="str">
            <v>Union Pacific</v>
          </cell>
          <cell r="E1712">
            <v>2</v>
          </cell>
          <cell r="F1712">
            <v>3.3179189999999997E-2</v>
          </cell>
        </row>
        <row r="1713">
          <cell r="B1713" t="str">
            <v>Union Pacific</v>
          </cell>
          <cell r="E1713">
            <v>2</v>
          </cell>
          <cell r="F1713">
            <v>6.5161050000000003E-3</v>
          </cell>
        </row>
        <row r="1714">
          <cell r="B1714" t="str">
            <v>Union Pacific</v>
          </cell>
          <cell r="E1714">
            <v>2</v>
          </cell>
          <cell r="F1714">
            <v>3.6811190000000001E-3</v>
          </cell>
        </row>
        <row r="1715">
          <cell r="B1715" t="str">
            <v>Union Pacific</v>
          </cell>
          <cell r="E1715">
            <v>2</v>
          </cell>
          <cell r="F1715">
            <v>4.351967E-3</v>
          </cell>
        </row>
        <row r="1716">
          <cell r="B1716" t="str">
            <v>Union Pacific</v>
          </cell>
          <cell r="E1716">
            <v>2</v>
          </cell>
          <cell r="F1716">
            <v>6.684036E-3</v>
          </cell>
        </row>
        <row r="1717">
          <cell r="B1717" t="str">
            <v>Union Pacific</v>
          </cell>
          <cell r="E1717">
            <v>2</v>
          </cell>
          <cell r="F1717">
            <v>4.363642E-3</v>
          </cell>
        </row>
        <row r="1718">
          <cell r="B1718" t="str">
            <v>Union Pacific</v>
          </cell>
          <cell r="E1718">
            <v>2</v>
          </cell>
          <cell r="F1718">
            <v>4.4346940000000003E-3</v>
          </cell>
        </row>
        <row r="1719">
          <cell r="B1719" t="str">
            <v>Union Pacific</v>
          </cell>
          <cell r="E1719">
            <v>2</v>
          </cell>
          <cell r="F1719">
            <v>5.978433E-3</v>
          </cell>
        </row>
        <row r="1720">
          <cell r="B1720" t="str">
            <v>N/A</v>
          </cell>
          <cell r="E1720">
            <v>1</v>
          </cell>
          <cell r="F1720">
            <v>1.9676680000000001E-3</v>
          </cell>
        </row>
        <row r="1721">
          <cell r="B1721" t="str">
            <v>N/A</v>
          </cell>
          <cell r="E1721">
            <v>1</v>
          </cell>
          <cell r="F1721">
            <v>4.4017259999999999E-3</v>
          </cell>
        </row>
        <row r="1722">
          <cell r="B1722" t="str">
            <v>N/A</v>
          </cell>
          <cell r="E1722">
            <v>1</v>
          </cell>
          <cell r="F1722">
            <v>2.4257219999999999E-3</v>
          </cell>
        </row>
        <row r="1723">
          <cell r="B1723" t="str">
            <v>N/A</v>
          </cell>
          <cell r="E1723">
            <v>1</v>
          </cell>
          <cell r="F1723">
            <v>2.2797149999999999E-3</v>
          </cell>
        </row>
        <row r="1724">
          <cell r="B1724" t="str">
            <v>N/A</v>
          </cell>
          <cell r="E1724">
            <v>1</v>
          </cell>
          <cell r="F1724">
            <v>3.2076980000000001E-3</v>
          </cell>
        </row>
        <row r="1725">
          <cell r="B1725" t="str">
            <v>N/A</v>
          </cell>
          <cell r="E1725">
            <v>1</v>
          </cell>
          <cell r="F1725">
            <v>3.1129119999999998E-3</v>
          </cell>
        </row>
        <row r="1726">
          <cell r="B1726" t="str">
            <v>N/A</v>
          </cell>
          <cell r="E1726">
            <v>1</v>
          </cell>
          <cell r="F1726">
            <v>0.2122531</v>
          </cell>
        </row>
        <row r="1727">
          <cell r="B1727" t="str">
            <v>N/A</v>
          </cell>
          <cell r="E1727">
            <v>1</v>
          </cell>
          <cell r="F1727">
            <v>5.7443439999999998E-2</v>
          </cell>
        </row>
        <row r="1728">
          <cell r="B1728" t="str">
            <v>N/A</v>
          </cell>
          <cell r="E1728">
            <v>1</v>
          </cell>
          <cell r="F1728">
            <v>4.3468689999999997E-3</v>
          </cell>
        </row>
        <row r="1729">
          <cell r="B1729" t="str">
            <v>N/A</v>
          </cell>
          <cell r="E1729">
            <v>1</v>
          </cell>
          <cell r="F1729">
            <v>1.6254660000000001E-3</v>
          </cell>
        </row>
        <row r="1730">
          <cell r="B1730" t="str">
            <v>N/A</v>
          </cell>
          <cell r="E1730">
            <v>1</v>
          </cell>
          <cell r="F1730">
            <v>6.3159540000000004E-3</v>
          </cell>
        </row>
        <row r="1731">
          <cell r="B1731" t="str">
            <v>N/A</v>
          </cell>
          <cell r="E1731">
            <v>1</v>
          </cell>
          <cell r="F1731">
            <v>0.33875650000000002</v>
          </cell>
        </row>
        <row r="1732">
          <cell r="B1732" t="str">
            <v>N/A</v>
          </cell>
          <cell r="E1732">
            <v>1</v>
          </cell>
          <cell r="F1732">
            <v>3.1346669999999998E-3</v>
          </cell>
        </row>
        <row r="1733">
          <cell r="B1733" t="str">
            <v>BNSF</v>
          </cell>
          <cell r="E1733">
            <v>1</v>
          </cell>
          <cell r="F1733">
            <v>4.7856560000000001E-3</v>
          </cell>
        </row>
        <row r="1734">
          <cell r="B1734" t="str">
            <v>BNSF</v>
          </cell>
          <cell r="E1734">
            <v>1</v>
          </cell>
          <cell r="F1734">
            <v>1.5903170000000001E-2</v>
          </cell>
        </row>
        <row r="1735">
          <cell r="B1735" t="str">
            <v>BNSF</v>
          </cell>
          <cell r="E1735">
            <v>1</v>
          </cell>
          <cell r="F1735">
            <v>2.242804E-2</v>
          </cell>
        </row>
        <row r="1736">
          <cell r="B1736" t="str">
            <v>BNSF</v>
          </cell>
          <cell r="E1736">
            <v>1</v>
          </cell>
          <cell r="F1736">
            <v>4.1882489999999998E-3</v>
          </cell>
        </row>
        <row r="1737">
          <cell r="B1737" t="str">
            <v>BNSF</v>
          </cell>
          <cell r="E1737">
            <v>1</v>
          </cell>
          <cell r="F1737">
            <v>2.702702E-3</v>
          </cell>
        </row>
        <row r="1738">
          <cell r="B1738" t="str">
            <v>BNSF</v>
          </cell>
          <cell r="E1738">
            <v>1</v>
          </cell>
          <cell r="F1738">
            <v>1.181282E-2</v>
          </cell>
        </row>
        <row r="1739">
          <cell r="B1739" t="str">
            <v>BNSF</v>
          </cell>
          <cell r="E1739">
            <v>1</v>
          </cell>
          <cell r="F1739">
            <v>4.1882489999999998E-3</v>
          </cell>
        </row>
        <row r="1740">
          <cell r="B1740" t="str">
            <v>BNSF</v>
          </cell>
          <cell r="E1740">
            <v>1</v>
          </cell>
          <cell r="F1740">
            <v>1.0975810000000001E-2</v>
          </cell>
        </row>
        <row r="1741">
          <cell r="B1741" t="str">
            <v>BNSF</v>
          </cell>
          <cell r="E1741">
            <v>1</v>
          </cell>
          <cell r="F1741">
            <v>6.4885919999999996E-3</v>
          </cell>
        </row>
        <row r="1742">
          <cell r="B1742" t="str">
            <v>BNSF</v>
          </cell>
          <cell r="E1742">
            <v>1</v>
          </cell>
          <cell r="F1742">
            <v>5.2232559999999999E-3</v>
          </cell>
        </row>
        <row r="1743">
          <cell r="B1743" t="str">
            <v>BNSF</v>
          </cell>
          <cell r="E1743">
            <v>1</v>
          </cell>
          <cell r="F1743">
            <v>2.1577430000000002E-2</v>
          </cell>
        </row>
        <row r="1744">
          <cell r="B1744" t="str">
            <v>BNSF</v>
          </cell>
          <cell r="E1744">
            <v>1</v>
          </cell>
          <cell r="F1744">
            <v>2.7746070000000001E-3</v>
          </cell>
        </row>
        <row r="1745">
          <cell r="B1745" t="str">
            <v>BNSF</v>
          </cell>
          <cell r="E1745">
            <v>1</v>
          </cell>
          <cell r="F1745">
            <v>5.8446569999999996E-3</v>
          </cell>
        </row>
        <row r="1746">
          <cell r="B1746" t="str">
            <v>BNSF</v>
          </cell>
          <cell r="E1746">
            <v>1</v>
          </cell>
          <cell r="F1746">
            <v>1.848431E-3</v>
          </cell>
        </row>
        <row r="1747">
          <cell r="B1747" t="str">
            <v>BNSF</v>
          </cell>
          <cell r="E1747">
            <v>1</v>
          </cell>
          <cell r="F1747">
            <v>5.8448320000000003E-3</v>
          </cell>
        </row>
        <row r="1748">
          <cell r="B1748" t="str">
            <v>BNSF</v>
          </cell>
          <cell r="E1748">
            <v>1</v>
          </cell>
          <cell r="F1748">
            <v>1.4884659999999999E-2</v>
          </cell>
        </row>
        <row r="1749">
          <cell r="B1749" t="str">
            <v>BNSF</v>
          </cell>
          <cell r="E1749">
            <v>1</v>
          </cell>
          <cell r="F1749">
            <v>2.7574029999999999E-2</v>
          </cell>
        </row>
        <row r="1750">
          <cell r="B1750" t="str">
            <v>BNSF</v>
          </cell>
          <cell r="E1750">
            <v>1</v>
          </cell>
          <cell r="F1750">
            <v>1.0026499999999999E-3</v>
          </cell>
        </row>
        <row r="1751">
          <cell r="B1751" t="str">
            <v>BNSF</v>
          </cell>
          <cell r="E1751">
            <v>1</v>
          </cell>
          <cell r="F1751">
            <v>3.6078109999999998E-3</v>
          </cell>
        </row>
        <row r="1752">
          <cell r="B1752" t="str">
            <v>BNSF</v>
          </cell>
          <cell r="E1752">
            <v>1</v>
          </cell>
          <cell r="F1752">
            <v>1.32365E-2</v>
          </cell>
        </row>
        <row r="1753">
          <cell r="B1753" t="str">
            <v>BNSF</v>
          </cell>
          <cell r="E1753">
            <v>1</v>
          </cell>
          <cell r="F1753">
            <v>5.3327619999999996E-3</v>
          </cell>
        </row>
        <row r="1754">
          <cell r="B1754" t="str">
            <v>BNSF</v>
          </cell>
          <cell r="E1754">
            <v>1</v>
          </cell>
          <cell r="F1754">
            <v>1.6322389999999999E-2</v>
          </cell>
        </row>
        <row r="1755">
          <cell r="B1755" t="str">
            <v>BNSF</v>
          </cell>
          <cell r="E1755">
            <v>1</v>
          </cell>
          <cell r="F1755">
            <v>2.5166549999999999E-2</v>
          </cell>
        </row>
        <row r="1756">
          <cell r="B1756" t="str">
            <v>BNSF</v>
          </cell>
          <cell r="E1756">
            <v>1</v>
          </cell>
          <cell r="F1756">
            <v>6.5929789999999997E-4</v>
          </cell>
        </row>
        <row r="1757">
          <cell r="B1757" t="str">
            <v>BNSF</v>
          </cell>
          <cell r="E1757">
            <v>1</v>
          </cell>
          <cell r="F1757">
            <v>1.4503140000000001E-3</v>
          </cell>
        </row>
        <row r="1758">
          <cell r="B1758" t="str">
            <v>BNSF</v>
          </cell>
          <cell r="E1758">
            <v>1</v>
          </cell>
          <cell r="F1758">
            <v>3.1974910000000001E-4</v>
          </cell>
        </row>
        <row r="1759">
          <cell r="B1759" t="str">
            <v>BNSF</v>
          </cell>
          <cell r="E1759">
            <v>1</v>
          </cell>
          <cell r="F1759">
            <v>8.1739720000000005E-4</v>
          </cell>
        </row>
        <row r="1760">
          <cell r="B1760" t="str">
            <v>BNSF</v>
          </cell>
          <cell r="E1760">
            <v>1</v>
          </cell>
          <cell r="F1760">
            <v>4.8422120000000003E-4</v>
          </cell>
        </row>
        <row r="1761">
          <cell r="B1761" t="str">
            <v>BNSF</v>
          </cell>
          <cell r="E1761">
            <v>1</v>
          </cell>
          <cell r="F1761">
            <v>2.8080420000000002E-3</v>
          </cell>
        </row>
        <row r="1762">
          <cell r="B1762" t="str">
            <v>BNSF</v>
          </cell>
          <cell r="E1762">
            <v>1</v>
          </cell>
          <cell r="F1762">
            <v>5.1316809999999999E-3</v>
          </cell>
        </row>
        <row r="1763">
          <cell r="B1763" t="str">
            <v>BNSF</v>
          </cell>
          <cell r="E1763">
            <v>1</v>
          </cell>
          <cell r="F1763">
            <v>3.3055150000000002E-3</v>
          </cell>
        </row>
        <row r="1764">
          <cell r="B1764" t="str">
            <v>BNSF</v>
          </cell>
          <cell r="E1764">
            <v>1</v>
          </cell>
          <cell r="F1764">
            <v>1.4793009999999999E-3</v>
          </cell>
        </row>
        <row r="1765">
          <cell r="B1765" t="str">
            <v>BNSF</v>
          </cell>
          <cell r="E1765">
            <v>1</v>
          </cell>
          <cell r="F1765">
            <v>1.9770830000000001E-3</v>
          </cell>
        </row>
        <row r="1766">
          <cell r="B1766" t="str">
            <v>BNSF</v>
          </cell>
          <cell r="E1766">
            <v>1</v>
          </cell>
          <cell r="F1766">
            <v>1.973867E-2</v>
          </cell>
        </row>
        <row r="1767">
          <cell r="B1767" t="str">
            <v>BNSF</v>
          </cell>
          <cell r="E1767">
            <v>1</v>
          </cell>
          <cell r="F1767">
            <v>1.269912E-3</v>
          </cell>
        </row>
        <row r="1768">
          <cell r="B1768" t="str">
            <v>BNSF</v>
          </cell>
          <cell r="E1768">
            <v>1</v>
          </cell>
          <cell r="F1768">
            <v>2.0703280000000002E-3</v>
          </cell>
        </row>
        <row r="1769">
          <cell r="B1769" t="str">
            <v>BNSF</v>
          </cell>
          <cell r="E1769">
            <v>1</v>
          </cell>
          <cell r="F1769">
            <v>3.7240370000000001E-4</v>
          </cell>
        </row>
        <row r="1770">
          <cell r="B1770" t="str">
            <v>BNSF</v>
          </cell>
          <cell r="E1770">
            <v>1</v>
          </cell>
          <cell r="F1770">
            <v>2.870568E-3</v>
          </cell>
        </row>
        <row r="1771">
          <cell r="B1771" t="str">
            <v>BNSF</v>
          </cell>
          <cell r="E1771">
            <v>1</v>
          </cell>
          <cell r="F1771">
            <v>1.1729069999999999E-3</v>
          </cell>
        </row>
        <row r="1772">
          <cell r="B1772" t="str">
            <v>BNSF</v>
          </cell>
          <cell r="E1772">
            <v>1</v>
          </cell>
          <cell r="F1772">
            <v>3.670937E-3</v>
          </cell>
        </row>
        <row r="1773">
          <cell r="B1773" t="str">
            <v>BNSF</v>
          </cell>
          <cell r="E1773">
            <v>1</v>
          </cell>
          <cell r="F1773">
            <v>3.9206010000000001E-3</v>
          </cell>
        </row>
        <row r="1774">
          <cell r="B1774" t="str">
            <v>BNSF</v>
          </cell>
          <cell r="E1774">
            <v>1</v>
          </cell>
          <cell r="F1774">
            <v>4.1958660000000004E-3</v>
          </cell>
        </row>
        <row r="1775">
          <cell r="B1775" t="str">
            <v>BNSF</v>
          </cell>
          <cell r="E1775">
            <v>1</v>
          </cell>
          <cell r="F1775">
            <v>2.7733409999999999E-3</v>
          </cell>
        </row>
        <row r="1776">
          <cell r="B1776" t="str">
            <v>BNSF</v>
          </cell>
          <cell r="E1776">
            <v>1</v>
          </cell>
          <cell r="F1776">
            <v>1.0755929999999999E-3</v>
          </cell>
        </row>
        <row r="1777">
          <cell r="B1777" t="str">
            <v>BNSF</v>
          </cell>
          <cell r="E1777">
            <v>1</v>
          </cell>
          <cell r="F1777">
            <v>1.875921E-3</v>
          </cell>
        </row>
        <row r="1778">
          <cell r="B1778" t="str">
            <v>BNSF</v>
          </cell>
          <cell r="E1778">
            <v>1</v>
          </cell>
          <cell r="F1778">
            <v>2.6761150000000002E-3</v>
          </cell>
        </row>
        <row r="1779">
          <cell r="B1779" t="str">
            <v>BNSF</v>
          </cell>
          <cell r="E1779">
            <v>1</v>
          </cell>
          <cell r="F1779">
            <v>5.1742790000000004E-3</v>
          </cell>
        </row>
        <row r="1780">
          <cell r="B1780" t="str">
            <v>BNSF</v>
          </cell>
          <cell r="E1780">
            <v>1</v>
          </cell>
          <cell r="F1780">
            <v>3.4764430000000001E-3</v>
          </cell>
        </row>
        <row r="1781">
          <cell r="B1781" t="str">
            <v>BNSF</v>
          </cell>
          <cell r="E1781">
            <v>1</v>
          </cell>
          <cell r="F1781">
            <v>4.1150960000000004E-3</v>
          </cell>
        </row>
        <row r="1782">
          <cell r="B1782" t="str">
            <v>BNSF</v>
          </cell>
          <cell r="E1782">
            <v>1</v>
          </cell>
          <cell r="F1782">
            <v>4.1958660000000004E-3</v>
          </cell>
        </row>
        <row r="1783">
          <cell r="B1783" t="str">
            <v>BNSF</v>
          </cell>
          <cell r="E1783">
            <v>1</v>
          </cell>
          <cell r="F1783">
            <v>5.8937900000000003E-3</v>
          </cell>
        </row>
        <row r="1784">
          <cell r="B1784" t="str">
            <v>BNSF</v>
          </cell>
          <cell r="E1784">
            <v>1</v>
          </cell>
          <cell r="F1784">
            <v>4.195954E-3</v>
          </cell>
        </row>
        <row r="1785">
          <cell r="B1785" t="str">
            <v>BNSF</v>
          </cell>
          <cell r="E1785">
            <v>1</v>
          </cell>
          <cell r="F1785">
            <v>5.8937900000000003E-3</v>
          </cell>
        </row>
        <row r="1786">
          <cell r="B1786" t="str">
            <v>BNSF</v>
          </cell>
          <cell r="E1786">
            <v>1</v>
          </cell>
          <cell r="F1786">
            <v>4.179281E-3</v>
          </cell>
        </row>
        <row r="1787">
          <cell r="B1787" t="str">
            <v>BNSF</v>
          </cell>
          <cell r="E1787">
            <v>1</v>
          </cell>
          <cell r="F1787">
            <v>2.4814450000000001E-3</v>
          </cell>
        </row>
        <row r="1788">
          <cell r="B1788" t="str">
            <v>BNSF</v>
          </cell>
          <cell r="E1788">
            <v>1</v>
          </cell>
          <cell r="F1788">
            <v>4.1958660000000004E-3</v>
          </cell>
        </row>
        <row r="1789">
          <cell r="B1789" t="str">
            <v>BNSF</v>
          </cell>
          <cell r="E1789">
            <v>1</v>
          </cell>
          <cell r="F1789">
            <v>3.2815090000000002E-3</v>
          </cell>
        </row>
        <row r="1790">
          <cell r="B1790" t="str">
            <v>BNSF</v>
          </cell>
          <cell r="E1790">
            <v>1</v>
          </cell>
          <cell r="F1790">
            <v>4.195954E-3</v>
          </cell>
        </row>
        <row r="1791">
          <cell r="B1791" t="str">
            <v>BNSF</v>
          </cell>
          <cell r="E1791">
            <v>1</v>
          </cell>
          <cell r="F1791">
            <v>1.8119989999999999E-3</v>
          </cell>
        </row>
        <row r="1792">
          <cell r="B1792" t="str">
            <v>BNSF</v>
          </cell>
          <cell r="E1792">
            <v>1</v>
          </cell>
          <cell r="F1792">
            <v>3.5100109999999999E-3</v>
          </cell>
        </row>
        <row r="1793">
          <cell r="B1793" t="str">
            <v>BNSF</v>
          </cell>
          <cell r="E1793">
            <v>1</v>
          </cell>
          <cell r="F1793">
            <v>1.011847E-3</v>
          </cell>
        </row>
        <row r="1794">
          <cell r="B1794" t="str">
            <v>BNSF</v>
          </cell>
          <cell r="E1794">
            <v>1</v>
          </cell>
          <cell r="F1794">
            <v>2.7096830000000001E-3</v>
          </cell>
        </row>
        <row r="1795">
          <cell r="B1795" t="str">
            <v>BNSF</v>
          </cell>
          <cell r="E1795">
            <v>1</v>
          </cell>
          <cell r="F1795">
            <v>2.1165269999999999E-4</v>
          </cell>
        </row>
        <row r="1796">
          <cell r="B1796" t="str">
            <v>BNSF</v>
          </cell>
          <cell r="E1796">
            <v>1</v>
          </cell>
          <cell r="F1796">
            <v>1.9096180000000001E-3</v>
          </cell>
        </row>
        <row r="1797">
          <cell r="B1797" t="str">
            <v>BNSF</v>
          </cell>
          <cell r="E1797">
            <v>1</v>
          </cell>
          <cell r="F1797">
            <v>1.1094239999999999E-3</v>
          </cell>
        </row>
        <row r="1798">
          <cell r="B1798" t="str">
            <v>BNSF</v>
          </cell>
          <cell r="E1798">
            <v>1</v>
          </cell>
          <cell r="F1798">
            <v>3.09318E-4</v>
          </cell>
        </row>
        <row r="1799">
          <cell r="B1799" t="str">
            <v>Union Pacific</v>
          </cell>
          <cell r="E1799">
            <v>1</v>
          </cell>
          <cell r="F1799">
            <v>3.9620619999999997E-3</v>
          </cell>
        </row>
        <row r="1800">
          <cell r="B1800" t="str">
            <v>Union Pacific</v>
          </cell>
          <cell r="E1800">
            <v>1</v>
          </cell>
          <cell r="F1800">
            <v>4.0189190000000001E-3</v>
          </cell>
        </row>
        <row r="1801">
          <cell r="B1801" t="str">
            <v>Union Pacific</v>
          </cell>
          <cell r="E1801">
            <v>1</v>
          </cell>
          <cell r="F1801">
            <v>4.0133599999999997E-3</v>
          </cell>
        </row>
        <row r="1802">
          <cell r="B1802" t="str">
            <v>Union Pacific</v>
          </cell>
          <cell r="E1802">
            <v>1</v>
          </cell>
          <cell r="F1802">
            <v>3.336234E-3</v>
          </cell>
        </row>
        <row r="1803">
          <cell r="B1803" t="str">
            <v>Union Pacific</v>
          </cell>
          <cell r="E1803">
            <v>1</v>
          </cell>
          <cell r="F1803">
            <v>3.1667430000000001E-3</v>
          </cell>
        </row>
        <row r="1804">
          <cell r="B1804" t="str">
            <v>Union Pacific</v>
          </cell>
          <cell r="E1804">
            <v>1</v>
          </cell>
          <cell r="F1804">
            <v>1.249053E-2</v>
          </cell>
        </row>
        <row r="1805">
          <cell r="B1805" t="str">
            <v>Union Pacific</v>
          </cell>
          <cell r="E1805">
            <v>1</v>
          </cell>
          <cell r="F1805">
            <v>6.6093269999999999E-3</v>
          </cell>
        </row>
        <row r="1806">
          <cell r="B1806" t="str">
            <v>Union Pacific</v>
          </cell>
          <cell r="E1806">
            <v>1</v>
          </cell>
          <cell r="F1806">
            <v>2.1361959999999999E-2</v>
          </cell>
        </row>
        <row r="1807">
          <cell r="B1807" t="str">
            <v>Union Pacific</v>
          </cell>
          <cell r="E1807">
            <v>1</v>
          </cell>
          <cell r="F1807">
            <v>3.191705E-3</v>
          </cell>
        </row>
        <row r="1808">
          <cell r="B1808" t="str">
            <v>Union Pacific</v>
          </cell>
          <cell r="E1808">
            <v>1</v>
          </cell>
          <cell r="F1808">
            <v>3.1917790000000001E-3</v>
          </cell>
        </row>
        <row r="1809">
          <cell r="B1809" t="str">
            <v>Union Pacific</v>
          </cell>
          <cell r="E1809">
            <v>1</v>
          </cell>
          <cell r="F1809">
            <v>8.7305659999999997E-4</v>
          </cell>
        </row>
        <row r="1810">
          <cell r="B1810" t="str">
            <v>Union Pacific</v>
          </cell>
          <cell r="E1810">
            <v>1</v>
          </cell>
          <cell r="F1810">
            <v>2.5389340000000001E-3</v>
          </cell>
        </row>
        <row r="1811">
          <cell r="B1811" t="str">
            <v>Union Pacific</v>
          </cell>
          <cell r="E1811">
            <v>1</v>
          </cell>
          <cell r="F1811">
            <v>8.9347920000000004E-4</v>
          </cell>
        </row>
        <row r="1812">
          <cell r="B1812" t="str">
            <v>Union Pacific</v>
          </cell>
          <cell r="E1812">
            <v>1</v>
          </cell>
          <cell r="F1812">
            <v>2.5594150000000002E-3</v>
          </cell>
        </row>
        <row r="1813">
          <cell r="B1813" t="str">
            <v>Union Pacific</v>
          </cell>
          <cell r="E1813">
            <v>1</v>
          </cell>
          <cell r="F1813">
            <v>4.2251540000000001E-3</v>
          </cell>
        </row>
        <row r="1814">
          <cell r="B1814" t="str">
            <v>Union Pacific</v>
          </cell>
          <cell r="E1814">
            <v>1</v>
          </cell>
          <cell r="F1814">
            <v>2.5795829999999999E-3</v>
          </cell>
        </row>
        <row r="1815">
          <cell r="B1815" t="str">
            <v>Union Pacific</v>
          </cell>
          <cell r="E1815">
            <v>1</v>
          </cell>
          <cell r="F1815">
            <v>4.2457140000000003E-3</v>
          </cell>
        </row>
        <row r="1816">
          <cell r="B1816" t="str">
            <v>Union Pacific</v>
          </cell>
          <cell r="E1816">
            <v>1</v>
          </cell>
          <cell r="F1816">
            <v>2.6000849999999998E-3</v>
          </cell>
        </row>
        <row r="1817">
          <cell r="B1817" t="str">
            <v>Union Pacific</v>
          </cell>
          <cell r="E1817">
            <v>1</v>
          </cell>
          <cell r="F1817">
            <v>4.2662749999999999E-3</v>
          </cell>
        </row>
        <row r="1818">
          <cell r="B1818" t="str">
            <v>Union Pacific</v>
          </cell>
          <cell r="E1818">
            <v>1</v>
          </cell>
          <cell r="F1818">
            <v>3.5953640000000002E-3</v>
          </cell>
        </row>
        <row r="1819">
          <cell r="B1819" t="str">
            <v>Union Pacific</v>
          </cell>
          <cell r="E1819">
            <v>1</v>
          </cell>
          <cell r="F1819">
            <v>1.015527E-3</v>
          </cell>
        </row>
        <row r="1820">
          <cell r="B1820" t="str">
            <v>Union Pacific</v>
          </cell>
          <cell r="E1820">
            <v>1</v>
          </cell>
          <cell r="F1820">
            <v>1.0358699999999999E-3</v>
          </cell>
        </row>
        <row r="1821">
          <cell r="B1821" t="str">
            <v>Union Pacific</v>
          </cell>
          <cell r="E1821">
            <v>1</v>
          </cell>
          <cell r="F1821">
            <v>3.5060920000000002E-2</v>
          </cell>
        </row>
        <row r="1822">
          <cell r="B1822" t="str">
            <v>Union Pacific</v>
          </cell>
          <cell r="E1822">
            <v>1</v>
          </cell>
          <cell r="F1822">
            <v>3.1150000000000001E-2</v>
          </cell>
        </row>
        <row r="1823">
          <cell r="B1823" t="str">
            <v>Union Pacific</v>
          </cell>
          <cell r="E1823">
            <v>1</v>
          </cell>
          <cell r="F1823">
            <v>3.9604430000000001E-4</v>
          </cell>
        </row>
        <row r="1824">
          <cell r="B1824" t="str">
            <v>Union Pacific</v>
          </cell>
          <cell r="E1824">
            <v>1</v>
          </cell>
          <cell r="F1824">
            <v>3.1956509999999999E-3</v>
          </cell>
        </row>
        <row r="1825">
          <cell r="B1825" t="str">
            <v>Union Pacific</v>
          </cell>
          <cell r="E1825">
            <v>1</v>
          </cell>
          <cell r="F1825">
            <v>0.12830649999999999</v>
          </cell>
        </row>
        <row r="1826">
          <cell r="B1826" t="str">
            <v>Union Pacific</v>
          </cell>
          <cell r="E1826">
            <v>1</v>
          </cell>
          <cell r="F1826">
            <v>6.593832E-3</v>
          </cell>
        </row>
        <row r="1827">
          <cell r="B1827" t="str">
            <v>Union Pacific</v>
          </cell>
          <cell r="E1827">
            <v>1</v>
          </cell>
          <cell r="F1827">
            <v>3.296916E-3</v>
          </cell>
        </row>
        <row r="1828">
          <cell r="B1828" t="str">
            <v>Union Pacific</v>
          </cell>
          <cell r="E1828">
            <v>1</v>
          </cell>
          <cell r="F1828">
            <v>1.199101E-2</v>
          </cell>
        </row>
        <row r="1829">
          <cell r="B1829" t="str">
            <v>Union Pacific</v>
          </cell>
          <cell r="E1829">
            <v>1</v>
          </cell>
          <cell r="F1829">
            <v>2.4625760000000002E-3</v>
          </cell>
        </row>
        <row r="1830">
          <cell r="B1830" t="str">
            <v>Union Pacific</v>
          </cell>
          <cell r="E1830">
            <v>1</v>
          </cell>
          <cell r="F1830">
            <v>3.296916E-3</v>
          </cell>
        </row>
        <row r="1831">
          <cell r="B1831" t="str">
            <v>Union Pacific</v>
          </cell>
          <cell r="E1831">
            <v>1</v>
          </cell>
          <cell r="F1831">
            <v>3.296916E-3</v>
          </cell>
        </row>
        <row r="1832">
          <cell r="B1832" t="str">
            <v>Union Pacific</v>
          </cell>
          <cell r="E1832">
            <v>1</v>
          </cell>
          <cell r="F1832">
            <v>3.296916E-3</v>
          </cell>
        </row>
        <row r="1833">
          <cell r="B1833" t="str">
            <v>Union Pacific</v>
          </cell>
          <cell r="E1833">
            <v>1</v>
          </cell>
          <cell r="F1833">
            <v>3.296916E-3</v>
          </cell>
        </row>
        <row r="1834">
          <cell r="B1834" t="str">
            <v>Union Pacific</v>
          </cell>
          <cell r="E1834">
            <v>1</v>
          </cell>
          <cell r="F1834">
            <v>3.2968369999999999E-3</v>
          </cell>
        </row>
        <row r="1835">
          <cell r="B1835" t="str">
            <v>Union Pacific</v>
          </cell>
          <cell r="E1835">
            <v>1</v>
          </cell>
          <cell r="F1835">
            <v>3.2968369999999999E-3</v>
          </cell>
        </row>
        <row r="1836">
          <cell r="B1836" t="str">
            <v>Union Pacific</v>
          </cell>
          <cell r="E1836">
            <v>1</v>
          </cell>
          <cell r="F1836">
            <v>1.199101E-2</v>
          </cell>
        </row>
        <row r="1837">
          <cell r="B1837" t="str">
            <v>Union Pacific</v>
          </cell>
          <cell r="E1837">
            <v>1</v>
          </cell>
          <cell r="F1837">
            <v>3.2968569999999998E-3</v>
          </cell>
        </row>
        <row r="1838">
          <cell r="B1838" t="str">
            <v>Union Pacific</v>
          </cell>
          <cell r="E1838">
            <v>1</v>
          </cell>
          <cell r="F1838">
            <v>4.1228840000000003E-3</v>
          </cell>
        </row>
        <row r="1839">
          <cell r="B1839" t="str">
            <v>Union Pacific</v>
          </cell>
          <cell r="E1839">
            <v>1</v>
          </cell>
          <cell r="F1839">
            <v>5.3500960000000001E-4</v>
          </cell>
        </row>
        <row r="1840">
          <cell r="B1840" t="str">
            <v>Union Pacific</v>
          </cell>
          <cell r="E1840">
            <v>1</v>
          </cell>
          <cell r="F1840">
            <v>2.53864E-3</v>
          </cell>
        </row>
        <row r="1841">
          <cell r="B1841" t="str">
            <v>Union Pacific</v>
          </cell>
          <cell r="E1841">
            <v>1</v>
          </cell>
          <cell r="F1841">
            <v>1.038059E-3</v>
          </cell>
        </row>
        <row r="1842">
          <cell r="B1842" t="str">
            <v>Union Pacific</v>
          </cell>
          <cell r="E1842">
            <v>1</v>
          </cell>
          <cell r="F1842">
            <v>1.0486130000000001E-3</v>
          </cell>
        </row>
        <row r="1843">
          <cell r="B1843" t="str">
            <v>Union Pacific</v>
          </cell>
          <cell r="E1843">
            <v>1</v>
          </cell>
          <cell r="F1843">
            <v>1.717976E-4</v>
          </cell>
        </row>
        <row r="1844">
          <cell r="B1844" t="str">
            <v>Union Pacific</v>
          </cell>
          <cell r="E1844">
            <v>1</v>
          </cell>
          <cell r="F1844">
            <v>7.82101E-4</v>
          </cell>
        </row>
        <row r="1845">
          <cell r="B1845" t="str">
            <v>Union Pacific</v>
          </cell>
          <cell r="E1845">
            <v>1</v>
          </cell>
          <cell r="F1845">
            <v>1.5323649999999999E-3</v>
          </cell>
        </row>
        <row r="1846">
          <cell r="B1846" t="str">
            <v>Union Pacific</v>
          </cell>
          <cell r="E1846">
            <v>1</v>
          </cell>
          <cell r="F1846">
            <v>0.19259979999999999</v>
          </cell>
        </row>
        <row r="1847">
          <cell r="B1847" t="str">
            <v>Union Pacific</v>
          </cell>
          <cell r="E1847">
            <v>1</v>
          </cell>
          <cell r="F1847">
            <v>0.209784</v>
          </cell>
        </row>
        <row r="1848">
          <cell r="B1848" t="str">
            <v>Union Pacific</v>
          </cell>
          <cell r="E1848">
            <v>1</v>
          </cell>
          <cell r="F1848">
            <v>0.66171009999999997</v>
          </cell>
        </row>
        <row r="1849">
          <cell r="B1849" t="str">
            <v>Union Pacific</v>
          </cell>
          <cell r="E1849">
            <v>1</v>
          </cell>
          <cell r="F1849">
            <v>1.05621E-2</v>
          </cell>
        </row>
        <row r="1850">
          <cell r="B1850" t="str">
            <v>Union Pacific</v>
          </cell>
          <cell r="E1850">
            <v>1</v>
          </cell>
          <cell r="F1850">
            <v>3.1147549999999999E-3</v>
          </cell>
        </row>
        <row r="1851">
          <cell r="B1851" t="str">
            <v>Union Pacific</v>
          </cell>
          <cell r="E1851">
            <v>1</v>
          </cell>
          <cell r="F1851">
            <v>6.2295110000000001E-3</v>
          </cell>
        </row>
        <row r="1852">
          <cell r="B1852" t="str">
            <v>Union Pacific</v>
          </cell>
          <cell r="E1852">
            <v>1</v>
          </cell>
          <cell r="F1852">
            <v>1.558584E-2</v>
          </cell>
        </row>
        <row r="1853">
          <cell r="B1853" t="str">
            <v>Union Pacific</v>
          </cell>
          <cell r="E1853">
            <v>1</v>
          </cell>
          <cell r="F1853">
            <v>6.23238E-3</v>
          </cell>
        </row>
        <row r="1854">
          <cell r="B1854" t="str">
            <v>Union Pacific</v>
          </cell>
          <cell r="E1854">
            <v>1</v>
          </cell>
          <cell r="F1854">
            <v>1.8702960000000001E-2</v>
          </cell>
        </row>
        <row r="1855">
          <cell r="B1855" t="str">
            <v>Union Pacific</v>
          </cell>
          <cell r="E1855">
            <v>1</v>
          </cell>
          <cell r="F1855">
            <v>2.0521040000000001E-2</v>
          </cell>
        </row>
        <row r="1856">
          <cell r="B1856" t="str">
            <v>Union Pacific</v>
          </cell>
          <cell r="E1856">
            <v>1</v>
          </cell>
          <cell r="F1856">
            <v>6.2379269999999999E-3</v>
          </cell>
        </row>
        <row r="1857">
          <cell r="B1857" t="str">
            <v>Union Pacific</v>
          </cell>
          <cell r="E1857">
            <v>1</v>
          </cell>
          <cell r="F1857">
            <v>1.9733179999999999E-2</v>
          </cell>
        </row>
        <row r="1858">
          <cell r="B1858" t="str">
            <v>Union Pacific</v>
          </cell>
          <cell r="E1858">
            <v>1</v>
          </cell>
          <cell r="F1858">
            <v>5.6042260000000003E-3</v>
          </cell>
        </row>
        <row r="1859">
          <cell r="B1859" t="str">
            <v>Union Pacific</v>
          </cell>
          <cell r="E1859">
            <v>1</v>
          </cell>
          <cell r="F1859">
            <v>9.8995899999999998E-3</v>
          </cell>
        </row>
        <row r="1860">
          <cell r="B1860" t="str">
            <v>Union Pacific</v>
          </cell>
          <cell r="E1860">
            <v>1</v>
          </cell>
          <cell r="F1860">
            <v>2.314534E-2</v>
          </cell>
        </row>
        <row r="1861">
          <cell r="B1861" t="str">
            <v>Union Pacific</v>
          </cell>
          <cell r="E1861">
            <v>1</v>
          </cell>
          <cell r="F1861">
            <v>9.1706609999999994E-2</v>
          </cell>
        </row>
        <row r="1862">
          <cell r="B1862" t="str">
            <v>Union Pacific</v>
          </cell>
          <cell r="E1862">
            <v>1</v>
          </cell>
          <cell r="F1862">
            <v>1.429303E-2</v>
          </cell>
        </row>
        <row r="1863">
          <cell r="B1863" t="str">
            <v>Union Pacific</v>
          </cell>
          <cell r="E1863">
            <v>1</v>
          </cell>
          <cell r="F1863">
            <v>5.0226489999999997E-3</v>
          </cell>
        </row>
        <row r="1864">
          <cell r="B1864" t="str">
            <v>Union Pacific</v>
          </cell>
          <cell r="E1864">
            <v>1</v>
          </cell>
          <cell r="F1864">
            <v>3.6910900000000002E-3</v>
          </cell>
        </row>
        <row r="1865">
          <cell r="B1865" t="str">
            <v>Union Pacific</v>
          </cell>
          <cell r="E1865">
            <v>1</v>
          </cell>
          <cell r="F1865">
            <v>5.9944179999999996E-3</v>
          </cell>
        </row>
        <row r="1866">
          <cell r="B1866" t="str">
            <v>Union Pacific</v>
          </cell>
          <cell r="E1866">
            <v>1</v>
          </cell>
          <cell r="F1866">
            <v>3.1604340000000002E-3</v>
          </cell>
        </row>
        <row r="1867">
          <cell r="B1867" t="str">
            <v>Union Pacific</v>
          </cell>
          <cell r="E1867">
            <v>1</v>
          </cell>
          <cell r="F1867">
            <v>1.0494910000000001E-3</v>
          </cell>
        </row>
        <row r="1868">
          <cell r="B1868" t="str">
            <v>Union Pacific</v>
          </cell>
          <cell r="E1868">
            <v>1</v>
          </cell>
          <cell r="F1868">
            <v>1.2394190000000001E-4</v>
          </cell>
        </row>
        <row r="1869">
          <cell r="B1869" t="str">
            <v>Union Pacific</v>
          </cell>
          <cell r="E1869">
            <v>1</v>
          </cell>
          <cell r="F1869">
            <v>2.385021E-2</v>
          </cell>
        </row>
        <row r="1870">
          <cell r="B1870" t="str">
            <v>Union Pacific</v>
          </cell>
          <cell r="E1870">
            <v>1</v>
          </cell>
          <cell r="F1870">
            <v>4.363642E-3</v>
          </cell>
        </row>
        <row r="1871">
          <cell r="B1871" t="str">
            <v>Union Pacific</v>
          </cell>
          <cell r="E1871">
            <v>1</v>
          </cell>
          <cell r="F1871">
            <v>1.013569E-3</v>
          </cell>
        </row>
        <row r="1872">
          <cell r="B1872" t="str">
            <v>Union Pacific</v>
          </cell>
          <cell r="E1872">
            <v>1</v>
          </cell>
          <cell r="F1872">
            <v>2.1818540000000001E-2</v>
          </cell>
        </row>
        <row r="1873">
          <cell r="B1873" t="str">
            <v>Union Pacific</v>
          </cell>
          <cell r="E1873">
            <v>1</v>
          </cell>
          <cell r="F1873">
            <v>8.6854219999999999E-3</v>
          </cell>
        </row>
        <row r="1874">
          <cell r="B1874" t="str">
            <v>N/A</v>
          </cell>
          <cell r="E1874">
            <v>0</v>
          </cell>
          <cell r="F1874">
            <v>0.1387536</v>
          </cell>
        </row>
        <row r="1875">
          <cell r="B1875" t="str">
            <v>N/A</v>
          </cell>
          <cell r="E1875">
            <v>0</v>
          </cell>
          <cell r="F1875">
            <v>9.1298869999999997E-3</v>
          </cell>
        </row>
        <row r="1876">
          <cell r="B1876" t="str">
            <v>N/A</v>
          </cell>
          <cell r="E1876">
            <v>0</v>
          </cell>
          <cell r="F1876">
            <v>8.8181690000000007E-3</v>
          </cell>
        </row>
        <row r="1877">
          <cell r="B1877" t="str">
            <v>N/A</v>
          </cell>
          <cell r="E1877">
            <v>0</v>
          </cell>
          <cell r="F1877">
            <v>1.403946E-2</v>
          </cell>
        </row>
        <row r="1878">
          <cell r="B1878" t="str">
            <v>N/A</v>
          </cell>
          <cell r="E1878">
            <v>0</v>
          </cell>
          <cell r="F1878">
            <v>0.1784772</v>
          </cell>
        </row>
        <row r="1879">
          <cell r="B1879" t="str">
            <v>N/A</v>
          </cell>
          <cell r="E1879">
            <v>0</v>
          </cell>
          <cell r="F1879">
            <v>1.6038759999999999E-2</v>
          </cell>
        </row>
        <row r="1880">
          <cell r="B1880" t="str">
            <v>N/A</v>
          </cell>
          <cell r="E1880">
            <v>0</v>
          </cell>
          <cell r="F1880">
            <v>6.8139289999999998E-3</v>
          </cell>
        </row>
        <row r="1881">
          <cell r="B1881" t="str">
            <v>N/A</v>
          </cell>
          <cell r="E1881">
            <v>0</v>
          </cell>
          <cell r="F1881">
            <v>0.96805439999999998</v>
          </cell>
        </row>
        <row r="1882">
          <cell r="B1882" t="str">
            <v>N/A</v>
          </cell>
          <cell r="E1882">
            <v>0</v>
          </cell>
          <cell r="F1882">
            <v>6.4118949999999999E-3</v>
          </cell>
        </row>
        <row r="1883">
          <cell r="B1883" t="str">
            <v>N/A</v>
          </cell>
          <cell r="E1883">
            <v>0</v>
          </cell>
          <cell r="F1883">
            <v>0.42076269999999999</v>
          </cell>
        </row>
        <row r="1884">
          <cell r="B1884" t="str">
            <v>N/A</v>
          </cell>
          <cell r="E1884">
            <v>0</v>
          </cell>
          <cell r="F1884">
            <v>8.3318839999999995E-3</v>
          </cell>
        </row>
        <row r="1885">
          <cell r="B1885" t="str">
            <v>N/A</v>
          </cell>
          <cell r="E1885">
            <v>0</v>
          </cell>
          <cell r="F1885">
            <v>6.2267650000000004E-3</v>
          </cell>
        </row>
        <row r="1886">
          <cell r="B1886" t="str">
            <v>N/A</v>
          </cell>
          <cell r="E1886">
            <v>0</v>
          </cell>
          <cell r="F1886">
            <v>2.026211E-2</v>
          </cell>
        </row>
        <row r="1887">
          <cell r="B1887" t="str">
            <v>N/A</v>
          </cell>
          <cell r="E1887">
            <v>0</v>
          </cell>
          <cell r="F1887">
            <v>9.5779229999999995E-4</v>
          </cell>
        </row>
        <row r="1888">
          <cell r="B1888" t="str">
            <v>N/A</v>
          </cell>
          <cell r="E1888">
            <v>0</v>
          </cell>
          <cell r="F1888">
            <v>8.3967549999999997E-4</v>
          </cell>
        </row>
        <row r="1889">
          <cell r="B1889" t="str">
            <v>BNSF</v>
          </cell>
          <cell r="E1889">
            <v>0</v>
          </cell>
          <cell r="F1889">
            <v>5.6450630000000002E-2</v>
          </cell>
        </row>
        <row r="1890">
          <cell r="B1890" t="str">
            <v>BNSF</v>
          </cell>
          <cell r="E1890">
            <v>0</v>
          </cell>
          <cell r="F1890">
            <v>0.1057044</v>
          </cell>
        </row>
        <row r="1891">
          <cell r="B1891" t="str">
            <v>BNSF</v>
          </cell>
          <cell r="E1891">
            <v>0</v>
          </cell>
          <cell r="F1891">
            <v>0.98237759999999996</v>
          </cell>
        </row>
        <row r="1892">
          <cell r="B1892" t="str">
            <v>Union Pacific</v>
          </cell>
          <cell r="E1892">
            <v>0</v>
          </cell>
          <cell r="F1892">
            <v>8.2367659999999995E-2</v>
          </cell>
        </row>
        <row r="1893">
          <cell r="B1893" t="str">
            <v>Union Pacific</v>
          </cell>
          <cell r="E1893">
            <v>0</v>
          </cell>
          <cell r="F1893">
            <v>3.009595E-2</v>
          </cell>
        </row>
        <row r="1894">
          <cell r="B1894" t="str">
            <v>Union Pacific</v>
          </cell>
          <cell r="E1894">
            <v>0</v>
          </cell>
          <cell r="F1894">
            <v>0.26028319999999999</v>
          </cell>
        </row>
        <row r="1895">
          <cell r="B1895" t="str">
            <v>Union Pacific</v>
          </cell>
          <cell r="E1895">
            <v>0</v>
          </cell>
          <cell r="F1895">
            <v>1.2568090000000001E-2</v>
          </cell>
        </row>
        <row r="1896">
          <cell r="B1896" t="str">
            <v>Union Pacific</v>
          </cell>
          <cell r="E1896">
            <v>0</v>
          </cell>
          <cell r="F1896">
            <v>1.337181E-2</v>
          </cell>
        </row>
        <row r="1897">
          <cell r="B1897" t="str">
            <v>Union Pacific</v>
          </cell>
          <cell r="E1897">
            <v>0</v>
          </cell>
          <cell r="F1897">
            <v>1.276703E-2</v>
          </cell>
        </row>
        <row r="1898">
          <cell r="B1898" t="str">
            <v>Union Pacific</v>
          </cell>
          <cell r="E1898">
            <v>0</v>
          </cell>
          <cell r="F1898">
            <v>5.8259200000000001E-3</v>
          </cell>
        </row>
        <row r="1899">
          <cell r="B1899" t="str">
            <v>Union Pacific</v>
          </cell>
          <cell r="E1899">
            <v>0</v>
          </cell>
          <cell r="F1899">
            <v>6.9693070000000003E-4</v>
          </cell>
        </row>
        <row r="1900">
          <cell r="B1900" t="str">
            <v>Union Pacific</v>
          </cell>
          <cell r="E1900">
            <v>0</v>
          </cell>
          <cell r="F1900">
            <v>0.14042250000000001</v>
          </cell>
        </row>
        <row r="1901">
          <cell r="B1901" t="str">
            <v>Union Pacific</v>
          </cell>
          <cell r="E1901">
            <v>0</v>
          </cell>
          <cell r="F1901">
            <v>1.2904870000000001E-2</v>
          </cell>
        </row>
        <row r="1902">
          <cell r="B1902" t="str">
            <v>Union Pacific</v>
          </cell>
          <cell r="E1902">
            <v>0</v>
          </cell>
          <cell r="F1902">
            <v>0.18638979999999999</v>
          </cell>
        </row>
        <row r="1903">
          <cell r="B1903" t="str">
            <v>Union Pacific</v>
          </cell>
          <cell r="E1903">
            <v>0</v>
          </cell>
          <cell r="F1903">
            <v>0.46594360000000001</v>
          </cell>
        </row>
        <row r="1904">
          <cell r="B1904" t="str">
            <v>Union Pacific</v>
          </cell>
          <cell r="E1904">
            <v>0</v>
          </cell>
          <cell r="F1904">
            <v>3.4815569999999997E-2</v>
          </cell>
        </row>
        <row r="1905">
          <cell r="B1905" t="str">
            <v>Union Pacific</v>
          </cell>
          <cell r="E1905">
            <v>0</v>
          </cell>
          <cell r="F1905">
            <v>4.5616810000000001E-2</v>
          </cell>
        </row>
        <row r="1906">
          <cell r="B1906" t="str">
            <v>Union Pacific</v>
          </cell>
          <cell r="E1906">
            <v>0</v>
          </cell>
          <cell r="F1906">
            <v>0.26612449999999999</v>
          </cell>
        </row>
        <row r="1907">
          <cell r="B1907" t="str">
            <v>Union Pacific</v>
          </cell>
          <cell r="E1907">
            <v>0</v>
          </cell>
          <cell r="F1907">
            <v>3.6468450000000001E-3</v>
          </cell>
        </row>
        <row r="1908">
          <cell r="B1908" t="str">
            <v>Union Pacific</v>
          </cell>
          <cell r="E1908">
            <v>0</v>
          </cell>
          <cell r="F1908">
            <v>3.0884110000000001E-3</v>
          </cell>
        </row>
        <row r="1909">
          <cell r="B1909" t="str">
            <v>Union Pacific</v>
          </cell>
          <cell r="E1909">
            <v>0</v>
          </cell>
          <cell r="F1909">
            <v>0.1021074</v>
          </cell>
        </row>
        <row r="1911">
          <cell r="F1911">
            <v>39.869656239032004</v>
          </cell>
        </row>
      </sheetData>
      <sheetData sheetId="6" refreshError="1"/>
      <sheetData sheetId="7">
        <row r="1">
          <cell r="E1" t="str">
            <v>AGENCY</v>
          </cell>
          <cell r="J1" t="str">
            <v>IntersectMiles</v>
          </cell>
        </row>
        <row r="2">
          <cell r="E2" t="str">
            <v>Caltrans</v>
          </cell>
          <cell r="J2">
            <v>0.4860215</v>
          </cell>
        </row>
        <row r="3">
          <cell r="E3" t="str">
            <v>Caltrans</v>
          </cell>
          <cell r="J3">
            <v>0.1015556</v>
          </cell>
        </row>
        <row r="4">
          <cell r="E4" t="str">
            <v>Contra Costa County Public Works</v>
          </cell>
          <cell r="J4">
            <v>0.44063869999999999</v>
          </cell>
        </row>
        <row r="5">
          <cell r="E5" t="str">
            <v>Contra Costa County Public Works</v>
          </cell>
          <cell r="J5">
            <v>4.6397679999999997E-2</v>
          </cell>
        </row>
        <row r="6">
          <cell r="E6" t="str">
            <v>Contra Costa County Public Works</v>
          </cell>
          <cell r="J6">
            <v>2.612302E-2</v>
          </cell>
        </row>
        <row r="7">
          <cell r="E7" t="str">
            <v>Contra Costa County Public Works</v>
          </cell>
          <cell r="J7">
            <v>0.58051960000000002</v>
          </cell>
        </row>
        <row r="8">
          <cell r="E8" t="str">
            <v>Contra Costa County Public Works</v>
          </cell>
          <cell r="J8">
            <v>3.8800000000000001E-2</v>
          </cell>
        </row>
        <row r="9">
          <cell r="E9" t="str">
            <v>Contra Costa County Public Works</v>
          </cell>
          <cell r="J9">
            <v>0.32273210000000002</v>
          </cell>
        </row>
        <row r="10">
          <cell r="E10" t="str">
            <v>Contra Costa County Public Works</v>
          </cell>
          <cell r="J10">
            <v>1.289849</v>
          </cell>
        </row>
        <row r="11">
          <cell r="E11" t="str">
            <v>Contra Costa County Public Works</v>
          </cell>
          <cell r="J11">
            <v>4.3168489999999997E-2</v>
          </cell>
        </row>
        <row r="12">
          <cell r="E12" t="str">
            <v>East Bay Regional Park District</v>
          </cell>
          <cell r="J12">
            <v>4.5673489999999997E-2</v>
          </cell>
        </row>
        <row r="13">
          <cell r="E13" t="str">
            <v>East Bay Regional Park District</v>
          </cell>
          <cell r="J13">
            <v>7.1607019999999993E-2</v>
          </cell>
        </row>
        <row r="14">
          <cell r="E14" t="str">
            <v>East Bay Regional Park District</v>
          </cell>
          <cell r="J14">
            <v>9.3872639999999993E-2</v>
          </cell>
        </row>
        <row r="15">
          <cell r="E15" t="str">
            <v>East Bay Regional Park District</v>
          </cell>
          <cell r="J15">
            <v>1.140771E-2</v>
          </cell>
        </row>
        <row r="16">
          <cell r="E16" t="str">
            <v>East Bay Regional Park District</v>
          </cell>
          <cell r="J16">
            <v>0.27127479999999998</v>
          </cell>
        </row>
        <row r="17">
          <cell r="E17" t="str">
            <v>East Bay Regional Park District</v>
          </cell>
          <cell r="J17">
            <v>0.1654709</v>
          </cell>
        </row>
        <row r="18">
          <cell r="E18" t="str">
            <v>East Bay Regional Park District</v>
          </cell>
          <cell r="J18">
            <v>0.32409749999999998</v>
          </cell>
        </row>
        <row r="19">
          <cell r="E19" t="str">
            <v>East Bay Regional Park District</v>
          </cell>
          <cell r="J19">
            <v>7.4346449999999994E-2</v>
          </cell>
        </row>
        <row r="20">
          <cell r="E20" t="str">
            <v>East Bay Regional Park District</v>
          </cell>
          <cell r="J20">
            <v>0.25124439999999998</v>
          </cell>
        </row>
        <row r="21">
          <cell r="E21" t="str">
            <v>East Bay Regional Park District</v>
          </cell>
          <cell r="J21">
            <v>6.9827120000000003E-3</v>
          </cell>
        </row>
        <row r="22">
          <cell r="E22" t="str">
            <v>East Bay Regional Park District</v>
          </cell>
          <cell r="J22">
            <v>0.1076579</v>
          </cell>
        </row>
        <row r="23">
          <cell r="E23" t="str">
            <v>East Bay Regional Park District</v>
          </cell>
          <cell r="J23">
            <v>0.1438854</v>
          </cell>
        </row>
        <row r="24">
          <cell r="E24" t="str">
            <v>Martinez Public Works Department</v>
          </cell>
          <cell r="J24">
            <v>1.7438229999999999</v>
          </cell>
        </row>
        <row r="25">
          <cell r="E25" t="str">
            <v>Martinez Public Works Department</v>
          </cell>
          <cell r="J25">
            <v>0.29563790000000001</v>
          </cell>
        </row>
        <row r="26">
          <cell r="E26" t="str">
            <v>Pinole Public Works Department</v>
          </cell>
          <cell r="J26">
            <v>1.2119819999999999E-3</v>
          </cell>
        </row>
        <row r="27">
          <cell r="E27" t="str">
            <v>Pinole Public Works Department</v>
          </cell>
          <cell r="J27">
            <v>1.9052690000000001E-2</v>
          </cell>
        </row>
        <row r="28">
          <cell r="E28" t="str">
            <v>Pinole Public Works Department</v>
          </cell>
          <cell r="J28">
            <v>0.10252699999999999</v>
          </cell>
        </row>
        <row r="29">
          <cell r="E29" t="str">
            <v>Pinole Public Works Department</v>
          </cell>
          <cell r="J29">
            <v>7.8974810000000006E-2</v>
          </cell>
        </row>
        <row r="30">
          <cell r="E30" t="str">
            <v>Richmond Public Works Dept</v>
          </cell>
          <cell r="J30">
            <v>0.13821600000000001</v>
          </cell>
        </row>
        <row r="31">
          <cell r="E31" t="str">
            <v>Richmond Public Works Dept</v>
          </cell>
          <cell r="J31">
            <v>1.0969469999999999</v>
          </cell>
        </row>
        <row r="32">
          <cell r="E32" t="str">
            <v>Richmond Public Works Dept</v>
          </cell>
          <cell r="J32">
            <v>3.1493069999999998E-2</v>
          </cell>
        </row>
        <row r="33">
          <cell r="E33" t="str">
            <v>Richmond Public Works Dept</v>
          </cell>
          <cell r="J33">
            <v>0.18851480000000001</v>
          </cell>
        </row>
        <row r="34">
          <cell r="E34" t="str">
            <v>Richmond Public Works Dept</v>
          </cell>
          <cell r="J34">
            <v>0.29252669999999997</v>
          </cell>
        </row>
        <row r="35">
          <cell r="E35" t="str">
            <v>Richmond Public Works Dept</v>
          </cell>
          <cell r="J35">
            <v>4.0860430000000001E-3</v>
          </cell>
        </row>
        <row r="36">
          <cell r="E36" t="str">
            <v>Richmond Public Works Dept</v>
          </cell>
          <cell r="J36">
            <v>0.1273145</v>
          </cell>
        </row>
        <row r="37">
          <cell r="E37" t="str">
            <v>Richmond Public Works Dept</v>
          </cell>
          <cell r="J37">
            <v>1.4332659999999999</v>
          </cell>
        </row>
        <row r="38">
          <cell r="E38" t="str">
            <v>Richmond Public Works Dept</v>
          </cell>
          <cell r="J38">
            <v>3.9059379999999998E-2</v>
          </cell>
        </row>
        <row r="39">
          <cell r="E39" t="str">
            <v>San Pablo Parks &amp; Recreation</v>
          </cell>
          <cell r="J39">
            <v>0.35634250000000001</v>
          </cell>
        </row>
        <row r="40">
          <cell r="E40" t="str">
            <v>San Pablo Parks &amp; Recreation</v>
          </cell>
          <cell r="J40">
            <v>1.36826E-3</v>
          </cell>
        </row>
        <row r="41">
          <cell r="E41" t="str">
            <v>San Pablo Parks &amp; Recreation</v>
          </cell>
          <cell r="J41">
            <v>2.1329420000000002E-2</v>
          </cell>
        </row>
        <row r="43">
          <cell r="J43">
            <v>10.915017666999999</v>
          </cell>
        </row>
      </sheetData>
      <sheetData sheetId="8">
        <row r="1">
          <cell r="F1" t="str">
            <v>AGENCY</v>
          </cell>
          <cell r="J1" t="str">
            <v>Rise</v>
          </cell>
          <cell r="K1" t="str">
            <v>IntersectMiles</v>
          </cell>
        </row>
        <row r="2">
          <cell r="F2" t="str">
            <v>Caltrans</v>
          </cell>
          <cell r="J2">
            <v>0</v>
          </cell>
          <cell r="K2">
            <v>0.37151070000000003</v>
          </cell>
        </row>
        <row r="3">
          <cell r="F3" t="str">
            <v>Caltrans</v>
          </cell>
          <cell r="J3">
            <v>0</v>
          </cell>
          <cell r="K3">
            <v>8.4816160000000002E-2</v>
          </cell>
        </row>
        <row r="4">
          <cell r="F4" t="str">
            <v>Contra Costa County Public Works</v>
          </cell>
          <cell r="J4">
            <v>0</v>
          </cell>
          <cell r="K4">
            <v>6.2057199999999996E-3</v>
          </cell>
        </row>
        <row r="5">
          <cell r="F5" t="str">
            <v>East Bay Regional Park District</v>
          </cell>
          <cell r="J5">
            <v>0</v>
          </cell>
          <cell r="K5">
            <v>4.641936E-2</v>
          </cell>
        </row>
        <row r="6">
          <cell r="F6" t="str">
            <v>East Bay Regional Park District</v>
          </cell>
          <cell r="J6">
            <v>0</v>
          </cell>
          <cell r="K6">
            <v>6.3104930000000004E-3</v>
          </cell>
        </row>
        <row r="7">
          <cell r="F7" t="str">
            <v>East Bay Regional Park District</v>
          </cell>
          <cell r="J7">
            <v>0</v>
          </cell>
          <cell r="K7">
            <v>2.0549970000000001E-2</v>
          </cell>
        </row>
        <row r="8">
          <cell r="F8" t="str">
            <v>Pinole Public Works Department</v>
          </cell>
          <cell r="J8">
            <v>0</v>
          </cell>
          <cell r="K8">
            <v>7.9079010000000002E-3</v>
          </cell>
        </row>
        <row r="9">
          <cell r="F9" t="str">
            <v>Richmond Public Works Dept</v>
          </cell>
          <cell r="J9">
            <v>0</v>
          </cell>
          <cell r="K9">
            <v>1.3743999999999999E-2</v>
          </cell>
        </row>
        <row r="10">
          <cell r="F10" t="str">
            <v>Richmond Public Works Dept</v>
          </cell>
          <cell r="J10">
            <v>0</v>
          </cell>
          <cell r="K10">
            <v>2.2403530000000001E-2</v>
          </cell>
        </row>
        <row r="11">
          <cell r="F11" t="str">
            <v>Richmond Public Works Dept</v>
          </cell>
          <cell r="J11">
            <v>0</v>
          </cell>
          <cell r="K11">
            <v>7.1054329999999999E-2</v>
          </cell>
        </row>
        <row r="12">
          <cell r="F12" t="str">
            <v>Richmond Public Works Dept</v>
          </cell>
          <cell r="J12">
            <v>0</v>
          </cell>
          <cell r="K12">
            <v>1.46923E-3</v>
          </cell>
        </row>
        <row r="13">
          <cell r="F13" t="str">
            <v>East Bay Regional Park District</v>
          </cell>
          <cell r="J13">
            <v>1</v>
          </cell>
          <cell r="K13">
            <v>6.918216E-4</v>
          </cell>
        </row>
        <row r="14">
          <cell r="F14" t="str">
            <v>East Bay Regional Park District</v>
          </cell>
          <cell r="J14">
            <v>1</v>
          </cell>
          <cell r="K14">
            <v>2.478549E-3</v>
          </cell>
        </row>
        <row r="15">
          <cell r="F15" t="str">
            <v>Pinole Public Works Department</v>
          </cell>
          <cell r="J15">
            <v>1</v>
          </cell>
          <cell r="K15">
            <v>1.5929130000000001E-3</v>
          </cell>
        </row>
        <row r="16">
          <cell r="F16" t="str">
            <v>Richmond Public Works Dept</v>
          </cell>
          <cell r="J16">
            <v>1</v>
          </cell>
          <cell r="K16">
            <v>2.2945570000000001E-4</v>
          </cell>
        </row>
        <row r="17">
          <cell r="F17" t="str">
            <v>Richmond Public Works Dept</v>
          </cell>
          <cell r="J17">
            <v>1</v>
          </cell>
          <cell r="K17">
            <v>6.5489499999999996E-4</v>
          </cell>
        </row>
        <row r="18">
          <cell r="F18" t="str">
            <v>Richmond Public Works Dept</v>
          </cell>
          <cell r="J18">
            <v>1</v>
          </cell>
          <cell r="K18">
            <v>3.1551499999999998E-3</v>
          </cell>
        </row>
        <row r="19">
          <cell r="F19" t="str">
            <v>Richmond Public Works Dept</v>
          </cell>
          <cell r="J19">
            <v>1</v>
          </cell>
          <cell r="K19">
            <v>7.2052610000000001E-4</v>
          </cell>
        </row>
        <row r="20">
          <cell r="F20" t="str">
            <v>Richmond Public Works Dept</v>
          </cell>
          <cell r="J20">
            <v>1</v>
          </cell>
          <cell r="K20">
            <v>9.3242360000000003E-4</v>
          </cell>
        </row>
        <row r="21">
          <cell r="F21" t="str">
            <v>Richmond Public Works Dept</v>
          </cell>
          <cell r="J21">
            <v>1</v>
          </cell>
          <cell r="K21">
            <v>1.647303E-2</v>
          </cell>
        </row>
        <row r="22">
          <cell r="F22" t="str">
            <v>Richmond Public Works Dept</v>
          </cell>
          <cell r="J22">
            <v>1</v>
          </cell>
          <cell r="K22">
            <v>2.1841450000000002E-3</v>
          </cell>
        </row>
        <row r="23">
          <cell r="F23" t="str">
            <v>Caltrans</v>
          </cell>
          <cell r="J23">
            <v>2</v>
          </cell>
          <cell r="K23">
            <v>3.6516059999999999E-3</v>
          </cell>
        </row>
        <row r="24">
          <cell r="F24" t="str">
            <v>Contra Costa County Public Works</v>
          </cell>
          <cell r="J24">
            <v>2</v>
          </cell>
          <cell r="K24">
            <v>3.1028599999999998E-3</v>
          </cell>
        </row>
        <row r="25">
          <cell r="F25" t="str">
            <v>Contra Costa County Public Works</v>
          </cell>
          <cell r="J25">
            <v>2</v>
          </cell>
          <cell r="K25">
            <v>9.3085800000000003E-3</v>
          </cell>
        </row>
        <row r="26">
          <cell r="F26" t="str">
            <v>Contra Costa County Public Works</v>
          </cell>
          <cell r="J26">
            <v>2</v>
          </cell>
          <cell r="K26">
            <v>9.6759220000000004E-4</v>
          </cell>
        </row>
        <row r="27">
          <cell r="F27" t="str">
            <v>Contra Costa County Public Works</v>
          </cell>
          <cell r="J27">
            <v>2</v>
          </cell>
          <cell r="K27">
            <v>3.2367659999999999E-3</v>
          </cell>
        </row>
        <row r="28">
          <cell r="F28" t="str">
            <v>Contra Costa County Public Works</v>
          </cell>
          <cell r="J28">
            <v>2</v>
          </cell>
          <cell r="K28">
            <v>6.7077460000000005E-4</v>
          </cell>
        </row>
        <row r="29">
          <cell r="F29" t="str">
            <v>Contra Costa County Public Works</v>
          </cell>
          <cell r="J29">
            <v>2</v>
          </cell>
          <cell r="K29">
            <v>4.9550889999999995E-4</v>
          </cell>
        </row>
        <row r="30">
          <cell r="F30" t="str">
            <v>Contra Costa County Public Works</v>
          </cell>
          <cell r="J30">
            <v>2</v>
          </cell>
          <cell r="K30">
            <v>1.4142549999999999E-3</v>
          </cell>
        </row>
        <row r="31">
          <cell r="F31" t="str">
            <v>East Bay Regional Park District</v>
          </cell>
          <cell r="J31">
            <v>2</v>
          </cell>
          <cell r="K31">
            <v>6.9146769999999996E-2</v>
          </cell>
        </row>
        <row r="32">
          <cell r="F32" t="str">
            <v>East Bay Regional Park District</v>
          </cell>
          <cell r="J32">
            <v>2</v>
          </cell>
          <cell r="K32">
            <v>3.1034700000000001E-3</v>
          </cell>
        </row>
        <row r="33">
          <cell r="F33" t="str">
            <v>East Bay Regional Park District</v>
          </cell>
          <cell r="J33">
            <v>2</v>
          </cell>
          <cell r="K33">
            <v>8.6392330000000005E-4</v>
          </cell>
        </row>
        <row r="34">
          <cell r="F34" t="str">
            <v>East Bay Regional Park District</v>
          </cell>
          <cell r="J34">
            <v>2</v>
          </cell>
          <cell r="K34">
            <v>1.0361610000000001E-3</v>
          </cell>
        </row>
        <row r="35">
          <cell r="F35" t="str">
            <v>East Bay Regional Park District</v>
          </cell>
          <cell r="J35">
            <v>2</v>
          </cell>
          <cell r="K35">
            <v>9.049177E-4</v>
          </cell>
        </row>
        <row r="36">
          <cell r="F36" t="str">
            <v>East Bay Regional Park District</v>
          </cell>
          <cell r="J36">
            <v>2</v>
          </cell>
          <cell r="K36">
            <v>1.4281470000000001E-3</v>
          </cell>
        </row>
        <row r="37">
          <cell r="F37" t="str">
            <v>East Bay Regional Park District</v>
          </cell>
          <cell r="J37">
            <v>2</v>
          </cell>
          <cell r="K37">
            <v>3.0085620000000002E-4</v>
          </cell>
        </row>
        <row r="38">
          <cell r="F38" t="str">
            <v>East Bay Regional Park District</v>
          </cell>
          <cell r="J38">
            <v>2</v>
          </cell>
          <cell r="K38">
            <v>3.2395729999999998E-4</v>
          </cell>
        </row>
        <row r="39">
          <cell r="F39" t="str">
            <v>East Bay Regional Park District</v>
          </cell>
          <cell r="J39">
            <v>2</v>
          </cell>
          <cell r="K39">
            <v>6.6639260000000001E-4</v>
          </cell>
        </row>
        <row r="40">
          <cell r="F40" t="str">
            <v>East Bay Regional Park District</v>
          </cell>
          <cell r="J40">
            <v>2</v>
          </cell>
          <cell r="K40">
            <v>2.8612020000000002E-3</v>
          </cell>
        </row>
        <row r="41">
          <cell r="F41" t="str">
            <v>East Bay Regional Park District</v>
          </cell>
          <cell r="J41">
            <v>2</v>
          </cell>
          <cell r="K41">
            <v>3.1024999999999998E-3</v>
          </cell>
        </row>
        <row r="42">
          <cell r="F42" t="str">
            <v>East Bay Regional Park District</v>
          </cell>
          <cell r="J42">
            <v>2</v>
          </cell>
          <cell r="K42">
            <v>2.4020069999999998E-3</v>
          </cell>
        </row>
        <row r="43">
          <cell r="F43" t="str">
            <v>East Bay Regional Park District</v>
          </cell>
          <cell r="J43">
            <v>2</v>
          </cell>
          <cell r="K43">
            <v>2.2448969999999999E-2</v>
          </cell>
        </row>
        <row r="44">
          <cell r="F44" t="str">
            <v>Pinole Public Works Department</v>
          </cell>
          <cell r="J44">
            <v>2</v>
          </cell>
          <cell r="K44">
            <v>2.6915820000000001E-3</v>
          </cell>
        </row>
        <row r="45">
          <cell r="F45" t="str">
            <v>Pinole Public Works Department</v>
          </cell>
          <cell r="J45">
            <v>2</v>
          </cell>
          <cell r="K45">
            <v>1.3018870000000001E-3</v>
          </cell>
        </row>
        <row r="46">
          <cell r="F46" t="str">
            <v>Pinole Public Works Department</v>
          </cell>
          <cell r="J46">
            <v>2</v>
          </cell>
          <cell r="K46">
            <v>2.9439180000000002E-4</v>
          </cell>
        </row>
        <row r="47">
          <cell r="F47" t="str">
            <v>Pinole Public Works Department</v>
          </cell>
          <cell r="J47">
            <v>2</v>
          </cell>
          <cell r="K47">
            <v>2.7187790000000002E-3</v>
          </cell>
        </row>
        <row r="48">
          <cell r="F48" t="str">
            <v>Pinole Public Works Department</v>
          </cell>
          <cell r="J48">
            <v>2</v>
          </cell>
          <cell r="K48">
            <v>1.7112399999999999E-3</v>
          </cell>
        </row>
        <row r="49">
          <cell r="F49" t="str">
            <v>Pinole Public Works Department</v>
          </cell>
          <cell r="J49">
            <v>2</v>
          </cell>
          <cell r="K49">
            <v>7.0361250000000001E-4</v>
          </cell>
        </row>
        <row r="50">
          <cell r="F50" t="str">
            <v>Port of Richmond</v>
          </cell>
          <cell r="J50">
            <v>2</v>
          </cell>
          <cell r="K50">
            <v>1.907387E-4</v>
          </cell>
        </row>
        <row r="51">
          <cell r="F51" t="str">
            <v>Richmond Public Works Dept</v>
          </cell>
          <cell r="J51">
            <v>2</v>
          </cell>
          <cell r="K51">
            <v>8.3074929999999995E-5</v>
          </cell>
        </row>
        <row r="52">
          <cell r="F52" t="str">
            <v>Richmond Public Works Dept</v>
          </cell>
          <cell r="J52">
            <v>2</v>
          </cell>
          <cell r="K52">
            <v>3.1550889999999998E-3</v>
          </cell>
        </row>
        <row r="53">
          <cell r="F53" t="str">
            <v>Richmond Public Works Dept</v>
          </cell>
          <cell r="J53">
            <v>2</v>
          </cell>
          <cell r="K53">
            <v>1.6670919999999999E-2</v>
          </cell>
        </row>
        <row r="54">
          <cell r="F54" t="str">
            <v>Richmond Public Works Dept</v>
          </cell>
          <cell r="J54">
            <v>2</v>
          </cell>
          <cell r="K54">
            <v>4.4825910000000002E-3</v>
          </cell>
        </row>
        <row r="55">
          <cell r="F55" t="str">
            <v>Richmond Public Works Dept</v>
          </cell>
          <cell r="J55">
            <v>2</v>
          </cell>
          <cell r="K55">
            <v>1.240992E-2</v>
          </cell>
        </row>
        <row r="56">
          <cell r="F56" t="str">
            <v>Richmond Public Works Dept</v>
          </cell>
          <cell r="J56">
            <v>2</v>
          </cell>
          <cell r="K56">
            <v>1.383982E-3</v>
          </cell>
        </row>
        <row r="57">
          <cell r="F57" t="str">
            <v>Richmond Public Works Dept</v>
          </cell>
          <cell r="J57">
            <v>2</v>
          </cell>
          <cell r="K57">
            <v>9.3077620000000007E-3</v>
          </cell>
        </row>
        <row r="58">
          <cell r="F58" t="str">
            <v>Richmond Public Works Dept</v>
          </cell>
          <cell r="J58">
            <v>2</v>
          </cell>
          <cell r="K58">
            <v>1.2448629999999999E-3</v>
          </cell>
        </row>
        <row r="59">
          <cell r="F59" t="str">
            <v>Richmond Public Works Dept</v>
          </cell>
          <cell r="J59">
            <v>2</v>
          </cell>
          <cell r="K59">
            <v>2.5832019999999999E-4</v>
          </cell>
        </row>
        <row r="60">
          <cell r="F60" t="str">
            <v>Richmond Public Works Dept</v>
          </cell>
          <cell r="J60">
            <v>2</v>
          </cell>
          <cell r="K60">
            <v>2.1874709999999999E-2</v>
          </cell>
        </row>
        <row r="61">
          <cell r="F61" t="str">
            <v>Richmond Public Works Dept</v>
          </cell>
          <cell r="J61">
            <v>2</v>
          </cell>
          <cell r="K61">
            <v>1.3647830000000001E-3</v>
          </cell>
        </row>
        <row r="62">
          <cell r="F62" t="str">
            <v>Richmond Public Works Dept</v>
          </cell>
          <cell r="J62">
            <v>2</v>
          </cell>
          <cell r="K62">
            <v>1.9812039999999999E-3</v>
          </cell>
        </row>
        <row r="63">
          <cell r="F63" t="str">
            <v>Richmond Public Works Dept</v>
          </cell>
          <cell r="J63">
            <v>2</v>
          </cell>
          <cell r="K63">
            <v>2.2103079999999998E-3</v>
          </cell>
        </row>
        <row r="64">
          <cell r="F64" t="str">
            <v>Richmond Public Works Dept</v>
          </cell>
          <cell r="J64">
            <v>2</v>
          </cell>
          <cell r="K64">
            <v>2.439189E-3</v>
          </cell>
        </row>
        <row r="65">
          <cell r="F65" t="str">
            <v>Richmond Public Works Dept</v>
          </cell>
          <cell r="J65">
            <v>2</v>
          </cell>
          <cell r="K65">
            <v>2.7046359999999998E-2</v>
          </cell>
        </row>
        <row r="66">
          <cell r="F66" t="str">
            <v>Richmond Public Works Dept</v>
          </cell>
          <cell r="J66">
            <v>2</v>
          </cell>
          <cell r="K66">
            <v>1.7001290000000001E-3</v>
          </cell>
        </row>
        <row r="67">
          <cell r="F67" t="str">
            <v>Richmond Public Works Dept</v>
          </cell>
          <cell r="J67">
            <v>2</v>
          </cell>
          <cell r="K67">
            <v>2.9470260000000003E-4</v>
          </cell>
        </row>
        <row r="68">
          <cell r="F68" t="str">
            <v>Richmond Public Works Dept</v>
          </cell>
          <cell r="J68">
            <v>2</v>
          </cell>
          <cell r="K68">
            <v>8.1774470000000004E-4</v>
          </cell>
        </row>
        <row r="69">
          <cell r="F69" t="str">
            <v>Richmond Public Works Dept</v>
          </cell>
          <cell r="J69">
            <v>2</v>
          </cell>
          <cell r="K69">
            <v>2.6646340000000001E-2</v>
          </cell>
        </row>
        <row r="70">
          <cell r="F70" t="str">
            <v>Richmond Public Works Dept</v>
          </cell>
          <cell r="J70">
            <v>2</v>
          </cell>
          <cell r="K70">
            <v>2.4581400000000002E-3</v>
          </cell>
        </row>
        <row r="71">
          <cell r="F71" t="str">
            <v>Caltrans</v>
          </cell>
          <cell r="J71">
            <v>3</v>
          </cell>
          <cell r="K71">
            <v>3.1071829999999999E-3</v>
          </cell>
        </row>
        <row r="72">
          <cell r="F72" t="str">
            <v>Contra Costa County Public Works</v>
          </cell>
          <cell r="J72">
            <v>3</v>
          </cell>
          <cell r="K72">
            <v>3.1028599999999998E-3</v>
          </cell>
        </row>
        <row r="73">
          <cell r="F73" t="str">
            <v>Contra Costa County Public Works</v>
          </cell>
          <cell r="J73">
            <v>3</v>
          </cell>
          <cell r="K73">
            <v>2.320709E-2</v>
          </cell>
        </row>
        <row r="74">
          <cell r="F74" t="str">
            <v>Contra Costa County Public Works</v>
          </cell>
          <cell r="J74">
            <v>3</v>
          </cell>
          <cell r="K74">
            <v>7.8697399999999996E-4</v>
          </cell>
        </row>
        <row r="75">
          <cell r="F75" t="str">
            <v>Contra Costa County Public Works</v>
          </cell>
          <cell r="J75">
            <v>3</v>
          </cell>
          <cell r="K75">
            <v>6.4024110000000002E-3</v>
          </cell>
        </row>
        <row r="76">
          <cell r="F76" t="str">
            <v>East Bay Regional Park District</v>
          </cell>
          <cell r="J76">
            <v>3</v>
          </cell>
          <cell r="K76">
            <v>8.3795990000000001E-2</v>
          </cell>
        </row>
        <row r="77">
          <cell r="F77" t="str">
            <v>East Bay Regional Park District</v>
          </cell>
          <cell r="J77">
            <v>3</v>
          </cell>
          <cell r="K77">
            <v>7.3684620000000001E-3</v>
          </cell>
        </row>
        <row r="78">
          <cell r="F78" t="str">
            <v>East Bay Regional Park District</v>
          </cell>
          <cell r="J78">
            <v>3</v>
          </cell>
          <cell r="K78">
            <v>3.1034700000000001E-3</v>
          </cell>
        </row>
        <row r="79">
          <cell r="F79" t="str">
            <v>East Bay Regional Park District</v>
          </cell>
          <cell r="J79">
            <v>3</v>
          </cell>
          <cell r="K79">
            <v>3.103532E-3</v>
          </cell>
        </row>
        <row r="80">
          <cell r="F80" t="str">
            <v>East Bay Regional Park District</v>
          </cell>
          <cell r="J80">
            <v>3</v>
          </cell>
          <cell r="K80">
            <v>1.20831E-3</v>
          </cell>
        </row>
        <row r="81">
          <cell r="F81" t="str">
            <v>East Bay Regional Park District</v>
          </cell>
          <cell r="J81">
            <v>3</v>
          </cell>
          <cell r="K81">
            <v>2.1224170000000001E-3</v>
          </cell>
        </row>
        <row r="82">
          <cell r="F82" t="str">
            <v>East Bay Regional Park District</v>
          </cell>
          <cell r="J82">
            <v>3</v>
          </cell>
          <cell r="K82">
            <v>2.1774889999999999E-3</v>
          </cell>
        </row>
        <row r="83">
          <cell r="F83" t="str">
            <v>East Bay Regional Park District</v>
          </cell>
          <cell r="J83">
            <v>3</v>
          </cell>
          <cell r="K83">
            <v>2.232473E-3</v>
          </cell>
        </row>
        <row r="84">
          <cell r="F84" t="str">
            <v>East Bay Regional Park District</v>
          </cell>
          <cell r="J84">
            <v>3</v>
          </cell>
          <cell r="K84">
            <v>2.2874089999999998E-3</v>
          </cell>
        </row>
        <row r="85">
          <cell r="F85" t="str">
            <v>East Bay Regional Park District</v>
          </cell>
          <cell r="J85">
            <v>3</v>
          </cell>
          <cell r="K85">
            <v>2.3391969999999999E-3</v>
          </cell>
        </row>
        <row r="86">
          <cell r="F86" t="str">
            <v>East Bay Regional Park District</v>
          </cell>
          <cell r="J86">
            <v>3</v>
          </cell>
          <cell r="K86">
            <v>2.4960749999999999E-3</v>
          </cell>
        </row>
        <row r="87">
          <cell r="F87" t="str">
            <v>East Bay Regional Park District</v>
          </cell>
          <cell r="J87">
            <v>3</v>
          </cell>
          <cell r="K87">
            <v>3.6484019999999998E-3</v>
          </cell>
        </row>
        <row r="88">
          <cell r="F88" t="str">
            <v>East Bay Regional Park District</v>
          </cell>
          <cell r="J88">
            <v>3</v>
          </cell>
          <cell r="K88">
            <v>3.642775E-3</v>
          </cell>
        </row>
        <row r="89">
          <cell r="F89" t="str">
            <v>East Bay Regional Park District</v>
          </cell>
          <cell r="J89">
            <v>3</v>
          </cell>
          <cell r="K89">
            <v>3.1042880000000002E-3</v>
          </cell>
        </row>
        <row r="90">
          <cell r="F90" t="str">
            <v>East Bay Regional Park District</v>
          </cell>
          <cell r="J90">
            <v>3</v>
          </cell>
          <cell r="K90">
            <v>3.7152410000000001E-4</v>
          </cell>
        </row>
        <row r="91">
          <cell r="F91" t="str">
            <v>East Bay Regional Park District</v>
          </cell>
          <cell r="J91">
            <v>3</v>
          </cell>
          <cell r="K91">
            <v>1.165473E-3</v>
          </cell>
        </row>
        <row r="92">
          <cell r="F92" t="str">
            <v>East Bay Regional Park District</v>
          </cell>
          <cell r="J92">
            <v>3</v>
          </cell>
          <cell r="K92">
            <v>3.1966410000000001E-3</v>
          </cell>
        </row>
        <row r="93">
          <cell r="F93" t="str">
            <v>East Bay Regional Park District</v>
          </cell>
          <cell r="J93">
            <v>3</v>
          </cell>
          <cell r="K93">
            <v>4.9742729999999999E-2</v>
          </cell>
        </row>
        <row r="94">
          <cell r="F94" t="str">
            <v>East Bay Regional Park District</v>
          </cell>
          <cell r="J94">
            <v>3</v>
          </cell>
          <cell r="K94">
            <v>2.478601E-3</v>
          </cell>
        </row>
        <row r="95">
          <cell r="F95" t="str">
            <v>East Bay Regional Park District</v>
          </cell>
          <cell r="J95">
            <v>3</v>
          </cell>
          <cell r="K95">
            <v>7.9096390000000003E-5</v>
          </cell>
        </row>
        <row r="96">
          <cell r="F96" t="str">
            <v>East Bay Regional Park District</v>
          </cell>
          <cell r="J96">
            <v>3</v>
          </cell>
          <cell r="K96">
            <v>7.1904670000000004E-2</v>
          </cell>
        </row>
        <row r="97">
          <cell r="F97" t="str">
            <v>East Bay Regional Park District</v>
          </cell>
          <cell r="J97">
            <v>3</v>
          </cell>
          <cell r="K97">
            <v>3.4246039999999998E-2</v>
          </cell>
        </row>
        <row r="98">
          <cell r="F98" t="str">
            <v>Pinole Public Works Department</v>
          </cell>
          <cell r="J98">
            <v>3</v>
          </cell>
          <cell r="K98">
            <v>1.320122E-3</v>
          </cell>
        </row>
        <row r="99">
          <cell r="F99" t="str">
            <v>Pinole Public Works Department</v>
          </cell>
          <cell r="J99">
            <v>3</v>
          </cell>
          <cell r="K99">
            <v>2.6918169999999998E-4</v>
          </cell>
        </row>
        <row r="100">
          <cell r="F100" t="str">
            <v>Pinole Public Works Department</v>
          </cell>
          <cell r="J100">
            <v>3</v>
          </cell>
          <cell r="K100">
            <v>1.5531919999999999E-3</v>
          </cell>
        </row>
        <row r="101">
          <cell r="F101" t="str">
            <v>Pinole Public Works Department</v>
          </cell>
          <cell r="J101">
            <v>3</v>
          </cell>
          <cell r="K101">
            <v>1.196594E-3</v>
          </cell>
        </row>
        <row r="102">
          <cell r="F102" t="str">
            <v>Pinole Public Works Department</v>
          </cell>
          <cell r="J102">
            <v>3</v>
          </cell>
          <cell r="K102">
            <v>6.5609719999999996E-6</v>
          </cell>
        </row>
        <row r="103">
          <cell r="F103" t="str">
            <v>Pinole Public Works Department</v>
          </cell>
          <cell r="J103">
            <v>3</v>
          </cell>
          <cell r="K103">
            <v>2.2284510000000002E-3</v>
          </cell>
        </row>
        <row r="104">
          <cell r="F104" t="str">
            <v>Pinole Public Works Department</v>
          </cell>
          <cell r="J104">
            <v>3</v>
          </cell>
          <cell r="K104">
            <v>8.3759820000000001E-4</v>
          </cell>
        </row>
        <row r="105">
          <cell r="F105" t="str">
            <v>Pinole Public Works Department</v>
          </cell>
          <cell r="J105">
            <v>3</v>
          </cell>
          <cell r="K105">
            <v>4.3245050000000002E-3</v>
          </cell>
        </row>
        <row r="106">
          <cell r="F106" t="str">
            <v>Pinole Public Works Department</v>
          </cell>
          <cell r="J106">
            <v>3</v>
          </cell>
          <cell r="K106">
            <v>3.3169219999999999E-3</v>
          </cell>
        </row>
        <row r="107">
          <cell r="F107" t="str">
            <v>Pinole Public Works Department</v>
          </cell>
          <cell r="J107">
            <v>3</v>
          </cell>
          <cell r="K107">
            <v>4.4394680000000002E-3</v>
          </cell>
        </row>
        <row r="108">
          <cell r="F108" t="str">
            <v>Pinole Public Works Department</v>
          </cell>
          <cell r="J108">
            <v>3</v>
          </cell>
          <cell r="K108">
            <v>3.137492E-3</v>
          </cell>
        </row>
        <row r="109">
          <cell r="F109" t="str">
            <v>Pinole Public Works Department</v>
          </cell>
          <cell r="J109">
            <v>3</v>
          </cell>
          <cell r="K109">
            <v>4.1449440000000002E-3</v>
          </cell>
        </row>
        <row r="110">
          <cell r="F110" t="str">
            <v>Pinole Public Works Department</v>
          </cell>
          <cell r="J110">
            <v>3</v>
          </cell>
          <cell r="K110">
            <v>1.7206439999999999E-3</v>
          </cell>
        </row>
        <row r="111">
          <cell r="F111" t="str">
            <v>Pinole Public Works Department</v>
          </cell>
          <cell r="J111">
            <v>3</v>
          </cell>
          <cell r="K111">
            <v>2.72814E-3</v>
          </cell>
        </row>
        <row r="112">
          <cell r="F112" t="str">
            <v>Pinole Public Works Department</v>
          </cell>
          <cell r="J112">
            <v>3</v>
          </cell>
          <cell r="K112">
            <v>3.431927E-3</v>
          </cell>
        </row>
        <row r="113">
          <cell r="F113" t="str">
            <v>Pinole Public Works Department</v>
          </cell>
          <cell r="J113">
            <v>3</v>
          </cell>
          <cell r="K113">
            <v>3.1278690000000001E-3</v>
          </cell>
        </row>
        <row r="114">
          <cell r="F114" t="str">
            <v>Pinole Public Works Department</v>
          </cell>
          <cell r="J114">
            <v>3</v>
          </cell>
          <cell r="K114">
            <v>2.1203300000000001E-3</v>
          </cell>
        </row>
        <row r="115">
          <cell r="F115" t="str">
            <v>Pinole Public Works Department</v>
          </cell>
          <cell r="J115">
            <v>3</v>
          </cell>
          <cell r="K115">
            <v>1.1128329999999999E-3</v>
          </cell>
        </row>
        <row r="116">
          <cell r="F116" t="str">
            <v>Pinole Public Works Department</v>
          </cell>
          <cell r="J116">
            <v>3</v>
          </cell>
          <cell r="K116">
            <v>1.052936E-4</v>
          </cell>
        </row>
        <row r="117">
          <cell r="F117" t="str">
            <v>Pinole Public Works Department</v>
          </cell>
          <cell r="J117">
            <v>3</v>
          </cell>
          <cell r="K117">
            <v>5.1416280000000003E-4</v>
          </cell>
        </row>
        <row r="118">
          <cell r="F118" t="str">
            <v>Pinole Public Works Department</v>
          </cell>
          <cell r="J118">
            <v>3</v>
          </cell>
          <cell r="K118">
            <v>8.1380869999999998E-4</v>
          </cell>
        </row>
        <row r="119">
          <cell r="F119" t="str">
            <v>Pinole Public Works Department</v>
          </cell>
          <cell r="J119">
            <v>3</v>
          </cell>
          <cell r="K119">
            <v>1.00088E-3</v>
          </cell>
        </row>
        <row r="120">
          <cell r="F120" t="str">
            <v>Port of Richmond</v>
          </cell>
          <cell r="J120">
            <v>3</v>
          </cell>
          <cell r="K120">
            <v>1.759374E-3</v>
          </cell>
        </row>
        <row r="121">
          <cell r="F121" t="str">
            <v>Port of Richmond</v>
          </cell>
          <cell r="J121">
            <v>3</v>
          </cell>
          <cell r="K121">
            <v>1.2357609999999999E-3</v>
          </cell>
        </row>
        <row r="122">
          <cell r="F122" t="str">
            <v>Richmond Public Works Dept</v>
          </cell>
          <cell r="J122">
            <v>3</v>
          </cell>
          <cell r="K122">
            <v>2.5765250000000001E-3</v>
          </cell>
        </row>
        <row r="123">
          <cell r="F123" t="str">
            <v>Richmond Public Works Dept</v>
          </cell>
          <cell r="J123">
            <v>3</v>
          </cell>
          <cell r="K123">
            <v>5.3304239999999998E-4</v>
          </cell>
        </row>
        <row r="124">
          <cell r="F124" t="str">
            <v>Richmond Public Works Dept</v>
          </cell>
          <cell r="J124">
            <v>3</v>
          </cell>
          <cell r="K124">
            <v>1.9690759999999998E-5</v>
          </cell>
        </row>
        <row r="125">
          <cell r="F125" t="str">
            <v>Richmond Public Works Dept</v>
          </cell>
          <cell r="J125">
            <v>3</v>
          </cell>
          <cell r="K125">
            <v>2.5528759999999999E-3</v>
          </cell>
        </row>
        <row r="126">
          <cell r="F126" t="str">
            <v>Richmond Public Works Dept</v>
          </cell>
          <cell r="J126">
            <v>3</v>
          </cell>
          <cell r="K126">
            <v>2.3733160000000001E-4</v>
          </cell>
        </row>
        <row r="127">
          <cell r="F127" t="str">
            <v>Richmond Public Works Dept</v>
          </cell>
          <cell r="J127">
            <v>3</v>
          </cell>
          <cell r="K127">
            <v>3.1220800000000002E-3</v>
          </cell>
        </row>
        <row r="128">
          <cell r="F128" t="str">
            <v>Richmond Public Works Dept</v>
          </cell>
          <cell r="J128">
            <v>3</v>
          </cell>
          <cell r="K128">
            <v>9.3074999999999998E-3</v>
          </cell>
        </row>
        <row r="129">
          <cell r="F129" t="str">
            <v>Richmond Public Works Dept</v>
          </cell>
          <cell r="J129">
            <v>3</v>
          </cell>
          <cell r="K129">
            <v>6.2050200000000003E-3</v>
          </cell>
        </row>
        <row r="130">
          <cell r="F130" t="str">
            <v>Richmond Public Works Dept</v>
          </cell>
          <cell r="J130">
            <v>3</v>
          </cell>
          <cell r="K130">
            <v>3.5485310000000002E-3</v>
          </cell>
        </row>
        <row r="131">
          <cell r="F131" t="str">
            <v>Richmond Public Works Dept</v>
          </cell>
          <cell r="J131">
            <v>3</v>
          </cell>
          <cell r="K131">
            <v>9.3077620000000007E-3</v>
          </cell>
        </row>
        <row r="132">
          <cell r="F132" t="str">
            <v>Richmond Public Works Dept</v>
          </cell>
          <cell r="J132">
            <v>3</v>
          </cell>
          <cell r="K132">
            <v>2.5116079999999998E-3</v>
          </cell>
        </row>
        <row r="133">
          <cell r="F133" t="str">
            <v>Richmond Public Works Dept</v>
          </cell>
          <cell r="J133">
            <v>3</v>
          </cell>
          <cell r="K133">
            <v>1.3811629999999999E-3</v>
          </cell>
        </row>
        <row r="134">
          <cell r="F134" t="str">
            <v>Richmond Public Works Dept</v>
          </cell>
          <cell r="J134">
            <v>3</v>
          </cell>
          <cell r="K134">
            <v>2.5067310000000001E-4</v>
          </cell>
        </row>
        <row r="135">
          <cell r="F135" t="str">
            <v>Richmond Public Works Dept</v>
          </cell>
          <cell r="J135">
            <v>3</v>
          </cell>
          <cell r="K135">
            <v>2.50396E-3</v>
          </cell>
        </row>
        <row r="136">
          <cell r="F136" t="str">
            <v>Richmond Public Works Dept</v>
          </cell>
          <cell r="J136">
            <v>3</v>
          </cell>
          <cell r="K136">
            <v>7.6427730000000003E-3</v>
          </cell>
        </row>
        <row r="137">
          <cell r="F137" t="str">
            <v>Richmond Public Works Dept</v>
          </cell>
          <cell r="J137">
            <v>3</v>
          </cell>
          <cell r="K137">
            <v>4.1130309999999996E-3</v>
          </cell>
        </row>
        <row r="138">
          <cell r="F138" t="str">
            <v>Richmond Public Works Dept</v>
          </cell>
          <cell r="J138">
            <v>3</v>
          </cell>
          <cell r="K138">
            <v>2.8144519999999998E-3</v>
          </cell>
        </row>
        <row r="139">
          <cell r="F139" t="str">
            <v>Richmond Public Works Dept</v>
          </cell>
          <cell r="J139">
            <v>3</v>
          </cell>
          <cell r="K139">
            <v>3.2590319999999998E-3</v>
          </cell>
        </row>
        <row r="140">
          <cell r="F140" t="str">
            <v>Richmond Public Works Dept</v>
          </cell>
          <cell r="J140">
            <v>3</v>
          </cell>
          <cell r="K140">
            <v>2.4583150000000002E-2</v>
          </cell>
        </row>
        <row r="141">
          <cell r="F141" t="str">
            <v>Richmond Public Works Dept</v>
          </cell>
          <cell r="J141">
            <v>3</v>
          </cell>
          <cell r="K141">
            <v>4.9164839999999996E-3</v>
          </cell>
        </row>
        <row r="142">
          <cell r="F142" t="str">
            <v>Richmond Public Works Dept</v>
          </cell>
          <cell r="J142">
            <v>3</v>
          </cell>
          <cell r="K142">
            <v>2.5513939999999998E-3</v>
          </cell>
        </row>
        <row r="143">
          <cell r="F143" t="str">
            <v>Richmond Public Works Dept</v>
          </cell>
          <cell r="J143">
            <v>3</v>
          </cell>
          <cell r="K143">
            <v>2.4587319999999999E-3</v>
          </cell>
        </row>
        <row r="144">
          <cell r="F144" t="str">
            <v>Richmond Public Works Dept</v>
          </cell>
          <cell r="J144">
            <v>3</v>
          </cell>
          <cell r="K144">
            <v>8.2766480000000004E-4</v>
          </cell>
        </row>
        <row r="145">
          <cell r="F145" t="str">
            <v>Richmond Public Works Dept</v>
          </cell>
          <cell r="J145">
            <v>3</v>
          </cell>
          <cell r="K145">
            <v>5.5088680000000005E-4</v>
          </cell>
        </row>
        <row r="146">
          <cell r="F146" t="str">
            <v>Richmond Public Works Dept</v>
          </cell>
          <cell r="J146">
            <v>3</v>
          </cell>
          <cell r="K146">
            <v>1.6368169999999999E-4</v>
          </cell>
        </row>
        <row r="147">
          <cell r="F147" t="str">
            <v>Richmond Public Works Dept</v>
          </cell>
          <cell r="J147">
            <v>3</v>
          </cell>
          <cell r="K147">
            <v>3.4546420000000001E-2</v>
          </cell>
        </row>
        <row r="148">
          <cell r="F148" t="str">
            <v>Richmond Public Works Dept</v>
          </cell>
          <cell r="J148">
            <v>3</v>
          </cell>
          <cell r="K148">
            <v>2.5618699999999999E-3</v>
          </cell>
        </row>
        <row r="149">
          <cell r="F149" t="str">
            <v>Richmond Public Works Dept</v>
          </cell>
          <cell r="J149">
            <v>3</v>
          </cell>
          <cell r="K149">
            <v>8.030489E-3</v>
          </cell>
        </row>
        <row r="150">
          <cell r="F150" t="str">
            <v>Richmond Public Works Dept</v>
          </cell>
          <cell r="J150">
            <v>3</v>
          </cell>
          <cell r="K150">
            <v>7.8962169999999998E-2</v>
          </cell>
        </row>
        <row r="151">
          <cell r="F151" t="str">
            <v>Richmond Public Works Dept</v>
          </cell>
          <cell r="J151">
            <v>3</v>
          </cell>
          <cell r="K151">
            <v>1.091947E-3</v>
          </cell>
        </row>
        <row r="152">
          <cell r="F152" t="str">
            <v>Richmond Public Works Dept</v>
          </cell>
          <cell r="J152">
            <v>3</v>
          </cell>
          <cell r="K152">
            <v>2.476088E-3</v>
          </cell>
        </row>
        <row r="153">
          <cell r="F153" t="str">
            <v>Richmond Public Works Dept</v>
          </cell>
          <cell r="J153">
            <v>3</v>
          </cell>
          <cell r="K153">
            <v>4.6405059999999998E-5</v>
          </cell>
        </row>
        <row r="154">
          <cell r="F154" t="str">
            <v>Richmond Public Works Dept</v>
          </cell>
          <cell r="J154">
            <v>3</v>
          </cell>
          <cell r="K154">
            <v>1.320372E-3</v>
          </cell>
        </row>
        <row r="155">
          <cell r="F155" t="str">
            <v>Richmond Public Works Dept</v>
          </cell>
          <cell r="J155">
            <v>3</v>
          </cell>
          <cell r="K155">
            <v>2.5944240000000001E-3</v>
          </cell>
        </row>
        <row r="156">
          <cell r="F156" t="str">
            <v>Richmond Public Works Dept</v>
          </cell>
          <cell r="J156">
            <v>3</v>
          </cell>
          <cell r="K156">
            <v>3.6067550000000001E-3</v>
          </cell>
        </row>
        <row r="157">
          <cell r="F157" t="str">
            <v>Richmond Public Works Dept</v>
          </cell>
          <cell r="J157">
            <v>3</v>
          </cell>
          <cell r="K157">
            <v>9.9059470000000004E-4</v>
          </cell>
        </row>
        <row r="158">
          <cell r="F158" t="str">
            <v>Richmond Public Works Dept</v>
          </cell>
          <cell r="J158">
            <v>3</v>
          </cell>
          <cell r="K158">
            <v>3.2966689999999998E-4</v>
          </cell>
        </row>
        <row r="159">
          <cell r="F159" t="str">
            <v>Richmond Public Works Dept</v>
          </cell>
          <cell r="J159">
            <v>3</v>
          </cell>
          <cell r="K159">
            <v>3.376121E-2</v>
          </cell>
        </row>
        <row r="160">
          <cell r="F160" t="str">
            <v>Richmond Public Works Dept</v>
          </cell>
          <cell r="J160">
            <v>3</v>
          </cell>
          <cell r="K160">
            <v>4.3697710000000001E-2</v>
          </cell>
        </row>
        <row r="161">
          <cell r="F161" t="str">
            <v>Richmond Public Works Dept</v>
          </cell>
          <cell r="J161">
            <v>3</v>
          </cell>
          <cell r="K161">
            <v>3.1431340000000002E-2</v>
          </cell>
        </row>
        <row r="162">
          <cell r="F162" t="str">
            <v>Richmond Public Works Dept</v>
          </cell>
          <cell r="J162">
            <v>3</v>
          </cell>
          <cell r="K162">
            <v>2.976738E-2</v>
          </cell>
        </row>
        <row r="163">
          <cell r="F163" t="str">
            <v>Richmond Public Works Dept</v>
          </cell>
          <cell r="J163">
            <v>3</v>
          </cell>
          <cell r="K163">
            <v>1.7417459999999999E-2</v>
          </cell>
        </row>
        <row r="164">
          <cell r="F164" t="str">
            <v>Richmond Public Works Dept</v>
          </cell>
          <cell r="J164">
            <v>3</v>
          </cell>
          <cell r="K164">
            <v>1.098322E-2</v>
          </cell>
        </row>
        <row r="165">
          <cell r="F165" t="str">
            <v>Richmond Public Works Dept</v>
          </cell>
          <cell r="J165">
            <v>3</v>
          </cell>
          <cell r="K165">
            <v>3.3662829999999999E-3</v>
          </cell>
        </row>
        <row r="166">
          <cell r="F166" t="str">
            <v>Richmond Public Works Dept</v>
          </cell>
          <cell r="J166">
            <v>3</v>
          </cell>
          <cell r="K166">
            <v>2.4839880000000002E-2</v>
          </cell>
        </row>
        <row r="167">
          <cell r="F167" t="str">
            <v>Richmond Public Works Dept</v>
          </cell>
          <cell r="J167">
            <v>3</v>
          </cell>
          <cell r="K167">
            <v>1.001815E-2</v>
          </cell>
        </row>
        <row r="168">
          <cell r="F168" t="str">
            <v>Richmond Public Works Dept</v>
          </cell>
          <cell r="J168">
            <v>3</v>
          </cell>
          <cell r="K168">
            <v>1.9171440000000001E-2</v>
          </cell>
        </row>
        <row r="169">
          <cell r="F169" t="str">
            <v>Richmond Public Works Dept</v>
          </cell>
          <cell r="J169">
            <v>3</v>
          </cell>
          <cell r="K169">
            <v>6.6469650000000003E-3</v>
          </cell>
        </row>
        <row r="170">
          <cell r="F170" t="str">
            <v>Richmond Public Works Dept</v>
          </cell>
          <cell r="J170">
            <v>3</v>
          </cell>
          <cell r="K170">
            <v>1.3829249999999999E-4</v>
          </cell>
        </row>
        <row r="171">
          <cell r="F171" t="str">
            <v>Richmond Public Works Dept</v>
          </cell>
          <cell r="J171">
            <v>3</v>
          </cell>
          <cell r="K171">
            <v>1.4204770000000001E-3</v>
          </cell>
        </row>
        <row r="172">
          <cell r="F172" t="str">
            <v>Richmond Public Works Dept</v>
          </cell>
          <cell r="J172">
            <v>3</v>
          </cell>
          <cell r="K172">
            <v>2.5222270000000001E-3</v>
          </cell>
        </row>
        <row r="173">
          <cell r="F173" t="str">
            <v>Richmond Public Works Dept</v>
          </cell>
          <cell r="J173">
            <v>3</v>
          </cell>
          <cell r="K173">
            <v>7.2677200000000001E-3</v>
          </cell>
        </row>
        <row r="174">
          <cell r="F174" t="str">
            <v>Richmond Public Works Dept</v>
          </cell>
          <cell r="J174">
            <v>3</v>
          </cell>
          <cell r="K174">
            <v>1.3795820000000001E-3</v>
          </cell>
        </row>
        <row r="175">
          <cell r="F175" t="str">
            <v>Richmond Public Works Dept</v>
          </cell>
          <cell r="J175">
            <v>3</v>
          </cell>
          <cell r="K175">
            <v>9.7442219999999995E-5</v>
          </cell>
        </row>
        <row r="176">
          <cell r="F176" t="str">
            <v>Richmond Public Works Dept</v>
          </cell>
          <cell r="J176">
            <v>3</v>
          </cell>
          <cell r="K176">
            <v>3.3520379999999999E-3</v>
          </cell>
        </row>
        <row r="177">
          <cell r="F177" t="str">
            <v>Richmond Public Works Dept</v>
          </cell>
          <cell r="J177">
            <v>3</v>
          </cell>
          <cell r="K177">
            <v>2.1384540000000001E-3</v>
          </cell>
        </row>
        <row r="178">
          <cell r="F178" t="str">
            <v>Richmond Public Works Dept</v>
          </cell>
          <cell r="J178">
            <v>3</v>
          </cell>
          <cell r="K178">
            <v>8.5613859999999998E-4</v>
          </cell>
        </row>
        <row r="179">
          <cell r="F179" t="str">
            <v>Richmond Public Works Dept</v>
          </cell>
          <cell r="J179">
            <v>3</v>
          </cell>
          <cell r="K179">
            <v>1.769234E-4</v>
          </cell>
        </row>
        <row r="180">
          <cell r="F180" t="str">
            <v>Richmond Public Works Dept</v>
          </cell>
          <cell r="J180">
            <v>3</v>
          </cell>
          <cell r="K180">
            <v>1.122773E-5</v>
          </cell>
        </row>
        <row r="181">
          <cell r="F181" t="str">
            <v>Richmond Public Works Dept</v>
          </cell>
          <cell r="J181">
            <v>3</v>
          </cell>
          <cell r="K181">
            <v>7.4175879999999997E-4</v>
          </cell>
        </row>
        <row r="182">
          <cell r="F182" t="str">
            <v>Richmond Public Works Dept</v>
          </cell>
          <cell r="J182">
            <v>3</v>
          </cell>
          <cell r="K182">
            <v>3.1956580000000001E-3</v>
          </cell>
        </row>
        <row r="183">
          <cell r="F183" t="str">
            <v>Richmond Public Works Dept</v>
          </cell>
          <cell r="J183">
            <v>3</v>
          </cell>
          <cell r="K183">
            <v>8.1054600000000004E-2</v>
          </cell>
        </row>
        <row r="184">
          <cell r="F184" t="str">
            <v>Richmond Public Works Dept</v>
          </cell>
          <cell r="J184">
            <v>3</v>
          </cell>
          <cell r="K184">
            <v>1.9572840000000001E-3</v>
          </cell>
        </row>
        <row r="185">
          <cell r="F185" t="str">
            <v>Richmond Public Works Dept</v>
          </cell>
          <cell r="J185">
            <v>3</v>
          </cell>
          <cell r="K185">
            <v>7.8642320000000003E-4</v>
          </cell>
        </row>
        <row r="186">
          <cell r="F186" t="str">
            <v>Richmond Public Works Dept</v>
          </cell>
          <cell r="J186">
            <v>3</v>
          </cell>
          <cell r="K186">
            <v>3.9511260000000001E-3</v>
          </cell>
        </row>
        <row r="187">
          <cell r="F187" t="str">
            <v>Richmond Public Works Dept</v>
          </cell>
          <cell r="J187">
            <v>3</v>
          </cell>
          <cell r="K187">
            <v>1.6841189999999999E-2</v>
          </cell>
        </row>
        <row r="188">
          <cell r="F188" t="str">
            <v>Richmond Public Works Dept</v>
          </cell>
          <cell r="J188">
            <v>3</v>
          </cell>
          <cell r="K188">
            <v>1.6935380000000001E-3</v>
          </cell>
        </row>
        <row r="189">
          <cell r="F189" t="str">
            <v>Richmond Public Works Dept</v>
          </cell>
          <cell r="J189">
            <v>3</v>
          </cell>
          <cell r="K189">
            <v>5.2772539999999997E-4</v>
          </cell>
        </row>
        <row r="190">
          <cell r="F190" t="str">
            <v>Richmond Public Works Dept</v>
          </cell>
          <cell r="J190">
            <v>3</v>
          </cell>
          <cell r="K190">
            <v>1.378874E-3</v>
          </cell>
        </row>
        <row r="191">
          <cell r="F191" t="str">
            <v>Richmond Public Works Dept</v>
          </cell>
          <cell r="J191">
            <v>3</v>
          </cell>
          <cell r="K191">
            <v>7.2123090000000007E-5</v>
          </cell>
        </row>
        <row r="192">
          <cell r="F192" t="str">
            <v>Richmond Public Works Dept</v>
          </cell>
          <cell r="J192">
            <v>3</v>
          </cell>
          <cell r="K192">
            <v>4.0895519999999998E-4</v>
          </cell>
        </row>
        <row r="193">
          <cell r="F193" t="str">
            <v>Richmond Public Works Dept</v>
          </cell>
          <cell r="J193">
            <v>3</v>
          </cell>
          <cell r="K193">
            <v>1.3718230000000001E-3</v>
          </cell>
        </row>
        <row r="194">
          <cell r="F194" t="str">
            <v>Richmond Public Works Dept</v>
          </cell>
          <cell r="J194">
            <v>3</v>
          </cell>
          <cell r="K194">
            <v>7.7625790000000001E-4</v>
          </cell>
        </row>
        <row r="195">
          <cell r="F195" t="str">
            <v>Richmond Public Works Dept</v>
          </cell>
          <cell r="J195">
            <v>3</v>
          </cell>
          <cell r="K195">
            <v>1.5019689999999999E-4</v>
          </cell>
        </row>
        <row r="196">
          <cell r="F196" t="str">
            <v>Richmond Public Works Dept</v>
          </cell>
          <cell r="J196">
            <v>3</v>
          </cell>
          <cell r="K196">
            <v>1.9665120000000001E-2</v>
          </cell>
        </row>
        <row r="197">
          <cell r="F197" t="str">
            <v>Richmond Public Works Dept</v>
          </cell>
          <cell r="J197">
            <v>3</v>
          </cell>
          <cell r="K197">
            <v>1.22907E-2</v>
          </cell>
        </row>
        <row r="198">
          <cell r="F198" t="str">
            <v>Richmond Public Works Dept</v>
          </cell>
          <cell r="J198">
            <v>3</v>
          </cell>
          <cell r="K198">
            <v>3.1025039999999999E-3</v>
          </cell>
        </row>
        <row r="199">
          <cell r="F199" t="str">
            <v>Caltrans</v>
          </cell>
          <cell r="J199">
            <v>4</v>
          </cell>
          <cell r="K199">
            <v>2.0509080000000002E-3</v>
          </cell>
        </row>
        <row r="200">
          <cell r="F200" t="str">
            <v>Contra Costa County Public Works</v>
          </cell>
          <cell r="J200">
            <v>4</v>
          </cell>
          <cell r="K200">
            <v>3.1028599999999998E-3</v>
          </cell>
        </row>
        <row r="201">
          <cell r="F201" t="str">
            <v>Contra Costa County Public Works</v>
          </cell>
          <cell r="J201">
            <v>4</v>
          </cell>
          <cell r="K201">
            <v>1.243294E-2</v>
          </cell>
        </row>
        <row r="202">
          <cell r="F202" t="str">
            <v>Contra Costa County Public Works</v>
          </cell>
          <cell r="J202">
            <v>4</v>
          </cell>
          <cell r="K202">
            <v>7.4106609999999998E-3</v>
          </cell>
        </row>
        <row r="203">
          <cell r="F203" t="str">
            <v>Contra Costa County Public Works</v>
          </cell>
          <cell r="J203">
            <v>4</v>
          </cell>
          <cell r="K203">
            <v>2.8694900000000001E-3</v>
          </cell>
        </row>
        <row r="204">
          <cell r="F204" t="str">
            <v>Contra Costa County Public Works</v>
          </cell>
          <cell r="J204">
            <v>4</v>
          </cell>
          <cell r="K204">
            <v>7.3138120000000003E-3</v>
          </cell>
        </row>
        <row r="205">
          <cell r="F205" t="str">
            <v>Contra Costa County Public Works</v>
          </cell>
          <cell r="J205">
            <v>4</v>
          </cell>
          <cell r="K205">
            <v>3.383123E-3</v>
          </cell>
        </row>
        <row r="206">
          <cell r="F206" t="str">
            <v>Contra Costa County Public Works</v>
          </cell>
          <cell r="J206">
            <v>4</v>
          </cell>
          <cell r="K206">
            <v>2.3218359999999999E-3</v>
          </cell>
        </row>
        <row r="207">
          <cell r="F207" t="str">
            <v>Contra Costa County Public Works</v>
          </cell>
          <cell r="J207">
            <v>4</v>
          </cell>
          <cell r="K207">
            <v>1.7912570000000001E-3</v>
          </cell>
        </row>
        <row r="208">
          <cell r="F208" t="str">
            <v>Contra Costa County Public Works</v>
          </cell>
          <cell r="J208">
            <v>4</v>
          </cell>
          <cell r="K208">
            <v>2.9268720000000001E-3</v>
          </cell>
        </row>
        <row r="209">
          <cell r="F209" t="str">
            <v>Contra Costa County Public Works</v>
          </cell>
          <cell r="J209">
            <v>4</v>
          </cell>
          <cell r="K209">
            <v>3.4574919999999999E-3</v>
          </cell>
        </row>
        <row r="210">
          <cell r="F210" t="str">
            <v>Contra Costa County Public Works</v>
          </cell>
          <cell r="J210">
            <v>4</v>
          </cell>
          <cell r="K210">
            <v>3.6568830000000001E-3</v>
          </cell>
        </row>
        <row r="211">
          <cell r="F211" t="str">
            <v>Contra Costa County Public Works</v>
          </cell>
          <cell r="J211">
            <v>4</v>
          </cell>
          <cell r="K211">
            <v>3.3254780000000002E-3</v>
          </cell>
        </row>
        <row r="212">
          <cell r="F212" t="str">
            <v>Contra Costa County Public Works</v>
          </cell>
          <cell r="J212">
            <v>4</v>
          </cell>
          <cell r="K212">
            <v>4.1874620000000003E-3</v>
          </cell>
        </row>
        <row r="213">
          <cell r="F213" t="str">
            <v>Contra Costa County Public Works</v>
          </cell>
          <cell r="J213">
            <v>4</v>
          </cell>
          <cell r="K213">
            <v>1.9233169999999999E-3</v>
          </cell>
        </row>
        <row r="214">
          <cell r="F214" t="str">
            <v>Contra Costa County Public Works</v>
          </cell>
          <cell r="J214">
            <v>4</v>
          </cell>
          <cell r="K214">
            <v>2.4541179999999999E-3</v>
          </cell>
        </row>
        <row r="215">
          <cell r="F215" t="str">
            <v>Contra Costa County Public Works</v>
          </cell>
          <cell r="J215">
            <v>4</v>
          </cell>
          <cell r="K215">
            <v>1.5062280000000001E-2</v>
          </cell>
        </row>
        <row r="216">
          <cell r="F216" t="str">
            <v>Contra Costa County Public Works</v>
          </cell>
          <cell r="J216">
            <v>4</v>
          </cell>
          <cell r="K216">
            <v>1.6200340000000001E-2</v>
          </cell>
        </row>
        <row r="217">
          <cell r="F217" t="str">
            <v>Contra Costa County Public Works</v>
          </cell>
          <cell r="J217">
            <v>4</v>
          </cell>
          <cell r="K217">
            <v>1.7285480000000001E-3</v>
          </cell>
        </row>
        <row r="218">
          <cell r="F218" t="str">
            <v>Contra Costa County Public Works</v>
          </cell>
          <cell r="J218">
            <v>4</v>
          </cell>
          <cell r="K218">
            <v>2.3945619999999998E-3</v>
          </cell>
        </row>
        <row r="219">
          <cell r="F219" t="str">
            <v>Contra Costa County Public Works</v>
          </cell>
          <cell r="J219">
            <v>4</v>
          </cell>
          <cell r="K219">
            <v>3.0605760000000002E-3</v>
          </cell>
        </row>
        <row r="220">
          <cell r="F220" t="str">
            <v>Contra Costa County Public Works</v>
          </cell>
          <cell r="J220">
            <v>4</v>
          </cell>
          <cell r="K220">
            <v>3.5888729999999998E-3</v>
          </cell>
        </row>
        <row r="221">
          <cell r="F221" t="str">
            <v>Contra Costa County Public Works</v>
          </cell>
          <cell r="J221">
            <v>4</v>
          </cell>
          <cell r="K221">
            <v>1.7019590000000001E-2</v>
          </cell>
        </row>
        <row r="222">
          <cell r="F222" t="str">
            <v>Contra Costa County Public Works</v>
          </cell>
          <cell r="J222">
            <v>4</v>
          </cell>
          <cell r="K222">
            <v>1.209178E-4</v>
          </cell>
        </row>
        <row r="223">
          <cell r="F223" t="str">
            <v>Contra Costa County Public Works</v>
          </cell>
          <cell r="J223">
            <v>4</v>
          </cell>
          <cell r="K223">
            <v>6.8974329999999997E-3</v>
          </cell>
        </row>
        <row r="224">
          <cell r="F224" t="str">
            <v>Contra Costa County Public Works</v>
          </cell>
          <cell r="J224">
            <v>4</v>
          </cell>
          <cell r="K224">
            <v>8.6469080000000005E-4</v>
          </cell>
        </row>
        <row r="225">
          <cell r="F225" t="str">
            <v>Contra Costa County Public Works</v>
          </cell>
          <cell r="J225">
            <v>4</v>
          </cell>
          <cell r="K225">
            <v>1.4739740000000001E-4</v>
          </cell>
        </row>
        <row r="226">
          <cell r="F226" t="str">
            <v>Contra Costa County Public Works</v>
          </cell>
          <cell r="J226">
            <v>4</v>
          </cell>
          <cell r="K226">
            <v>2.9941939999999999E-3</v>
          </cell>
        </row>
        <row r="227">
          <cell r="F227" t="str">
            <v>Contra Costa County Public Works</v>
          </cell>
          <cell r="J227">
            <v>4</v>
          </cell>
          <cell r="K227">
            <v>2.2769890000000001E-3</v>
          </cell>
        </row>
        <row r="228">
          <cell r="F228" t="str">
            <v>Contra Costa County Public Works</v>
          </cell>
          <cell r="J228">
            <v>4</v>
          </cell>
          <cell r="K228">
            <v>1.2515390000000001E-4</v>
          </cell>
        </row>
        <row r="229">
          <cell r="F229" t="str">
            <v>Contra Costa County Public Works</v>
          </cell>
          <cell r="J229">
            <v>4</v>
          </cell>
          <cell r="K229">
            <v>3.5809180000000002E-3</v>
          </cell>
        </row>
        <row r="230">
          <cell r="F230" t="str">
            <v>Contra Costa County Public Works</v>
          </cell>
          <cell r="J230">
            <v>4</v>
          </cell>
          <cell r="K230">
            <v>4.2437669999999999E-3</v>
          </cell>
        </row>
        <row r="231">
          <cell r="F231" t="str">
            <v>Contra Costa County Public Works</v>
          </cell>
          <cell r="J231">
            <v>4</v>
          </cell>
          <cell r="K231">
            <v>3.1366200000000001E-3</v>
          </cell>
        </row>
        <row r="232">
          <cell r="F232" t="str">
            <v>Contra Costa County Public Works</v>
          </cell>
          <cell r="J232">
            <v>4</v>
          </cell>
          <cell r="K232">
            <v>3.245515E-3</v>
          </cell>
        </row>
        <row r="233">
          <cell r="F233" t="str">
            <v>Contra Costa County Public Works</v>
          </cell>
          <cell r="J233">
            <v>4</v>
          </cell>
          <cell r="K233">
            <v>3.1122519999999998E-3</v>
          </cell>
        </row>
        <row r="234">
          <cell r="F234" t="str">
            <v>Contra Costa County Public Works</v>
          </cell>
          <cell r="J234">
            <v>4</v>
          </cell>
          <cell r="K234">
            <v>2.3333540000000002E-3</v>
          </cell>
        </row>
        <row r="235">
          <cell r="F235" t="str">
            <v>Contra Costa County Public Works</v>
          </cell>
          <cell r="J235">
            <v>4</v>
          </cell>
          <cell r="K235">
            <v>3.3231679999999998E-4</v>
          </cell>
        </row>
        <row r="236">
          <cell r="F236" t="str">
            <v>Contra Costa County Public Works</v>
          </cell>
          <cell r="J236">
            <v>4</v>
          </cell>
          <cell r="K236">
            <v>6.8741099999999997E-4</v>
          </cell>
        </row>
        <row r="237">
          <cell r="F237" t="str">
            <v>Contra Costa County Public Works</v>
          </cell>
          <cell r="J237">
            <v>4</v>
          </cell>
          <cell r="K237">
            <v>1.2294750000000001E-3</v>
          </cell>
        </row>
        <row r="238">
          <cell r="F238" t="str">
            <v>East Bay Regional Park District</v>
          </cell>
          <cell r="J238">
            <v>4</v>
          </cell>
          <cell r="K238">
            <v>3.1294339999999999E-3</v>
          </cell>
        </row>
        <row r="239">
          <cell r="F239" t="str">
            <v>East Bay Regional Park District</v>
          </cell>
          <cell r="J239">
            <v>4</v>
          </cell>
          <cell r="K239">
            <v>5.8396660000000003E-2</v>
          </cell>
        </row>
        <row r="240">
          <cell r="F240" t="str">
            <v>East Bay Regional Park District</v>
          </cell>
          <cell r="J240">
            <v>4</v>
          </cell>
          <cell r="K240">
            <v>6.6356920000000003E-3</v>
          </cell>
        </row>
        <row r="241">
          <cell r="F241" t="str">
            <v>East Bay Regional Park District</v>
          </cell>
          <cell r="J241">
            <v>4</v>
          </cell>
          <cell r="K241">
            <v>1.551247E-2</v>
          </cell>
        </row>
        <row r="242">
          <cell r="F242" t="str">
            <v>East Bay Regional Park District</v>
          </cell>
          <cell r="J242">
            <v>4</v>
          </cell>
          <cell r="K242">
            <v>9.3078229999999998E-3</v>
          </cell>
        </row>
        <row r="243">
          <cell r="F243" t="str">
            <v>East Bay Regional Park District</v>
          </cell>
          <cell r="J243">
            <v>4</v>
          </cell>
          <cell r="K243">
            <v>6.7872539999999995E-2</v>
          </cell>
        </row>
        <row r="244">
          <cell r="F244" t="str">
            <v>East Bay Regional Park District</v>
          </cell>
          <cell r="J244">
            <v>4</v>
          </cell>
          <cell r="K244">
            <v>3.103532E-3</v>
          </cell>
        </row>
        <row r="245">
          <cell r="F245" t="str">
            <v>East Bay Regional Park District</v>
          </cell>
          <cell r="J245">
            <v>4</v>
          </cell>
          <cell r="K245">
            <v>1.5863140000000001E-2</v>
          </cell>
        </row>
        <row r="246">
          <cell r="F246" t="str">
            <v>East Bay Regional Park District</v>
          </cell>
          <cell r="J246">
            <v>4</v>
          </cell>
          <cell r="K246">
            <v>1.3806739999999999E-3</v>
          </cell>
        </row>
        <row r="247">
          <cell r="F247" t="str">
            <v>East Bay Regional Park District</v>
          </cell>
          <cell r="J247">
            <v>4</v>
          </cell>
          <cell r="K247">
            <v>1.898182E-3</v>
          </cell>
        </row>
        <row r="248">
          <cell r="F248" t="str">
            <v>East Bay Regional Park District</v>
          </cell>
          <cell r="J248">
            <v>4</v>
          </cell>
          <cell r="K248">
            <v>2.0124090000000002E-3</v>
          </cell>
        </row>
        <row r="249">
          <cell r="F249" t="str">
            <v>East Bay Regional Park District</v>
          </cell>
          <cell r="J249">
            <v>4</v>
          </cell>
          <cell r="K249">
            <v>2.0674320000000001E-3</v>
          </cell>
        </row>
        <row r="250">
          <cell r="F250" t="str">
            <v>East Bay Regional Park District</v>
          </cell>
          <cell r="J250">
            <v>4</v>
          </cell>
          <cell r="K250">
            <v>2.282662E-3</v>
          </cell>
        </row>
        <row r="251">
          <cell r="F251" t="str">
            <v>East Bay Regional Park District</v>
          </cell>
          <cell r="J251">
            <v>4</v>
          </cell>
          <cell r="K251">
            <v>2.3436630000000002E-3</v>
          </cell>
        </row>
        <row r="252">
          <cell r="F252" t="str">
            <v>East Bay Regional Park District</v>
          </cell>
          <cell r="J252">
            <v>4</v>
          </cell>
          <cell r="K252">
            <v>4.8882820000000003E-4</v>
          </cell>
        </row>
        <row r="253">
          <cell r="F253" t="str">
            <v>East Bay Regional Park District</v>
          </cell>
          <cell r="J253">
            <v>4</v>
          </cell>
          <cell r="K253">
            <v>1.1915170000000001E-4</v>
          </cell>
        </row>
        <row r="254">
          <cell r="F254" t="str">
            <v>East Bay Regional Park District</v>
          </cell>
          <cell r="J254">
            <v>4</v>
          </cell>
          <cell r="K254">
            <v>3.1042880000000002E-3</v>
          </cell>
        </row>
        <row r="255">
          <cell r="F255" t="str">
            <v>East Bay Regional Park District</v>
          </cell>
          <cell r="J255">
            <v>4</v>
          </cell>
          <cell r="K255">
            <v>2.234443E-3</v>
          </cell>
        </row>
        <row r="256">
          <cell r="F256" t="str">
            <v>East Bay Regional Park District</v>
          </cell>
          <cell r="J256">
            <v>4</v>
          </cell>
          <cell r="K256">
            <v>9.8609879999999998E-4</v>
          </cell>
        </row>
        <row r="257">
          <cell r="F257" t="str">
            <v>East Bay Regional Park District</v>
          </cell>
          <cell r="J257">
            <v>4</v>
          </cell>
          <cell r="K257">
            <v>1.6198199999999999E-3</v>
          </cell>
        </row>
        <row r="258">
          <cell r="F258" t="str">
            <v>East Bay Regional Park District</v>
          </cell>
          <cell r="J258">
            <v>4</v>
          </cell>
          <cell r="K258">
            <v>2.253541E-3</v>
          </cell>
        </row>
        <row r="259">
          <cell r="F259" t="str">
            <v>East Bay Regional Park District</v>
          </cell>
          <cell r="J259">
            <v>4</v>
          </cell>
          <cell r="K259">
            <v>1.0053320000000001E-3</v>
          </cell>
        </row>
        <row r="260">
          <cell r="F260" t="str">
            <v>East Bay Regional Park District</v>
          </cell>
          <cell r="J260">
            <v>4</v>
          </cell>
          <cell r="K260">
            <v>1.0928069999999999E-3</v>
          </cell>
        </row>
        <row r="261">
          <cell r="F261" t="str">
            <v>East Bay Regional Park District</v>
          </cell>
          <cell r="J261">
            <v>4</v>
          </cell>
          <cell r="K261">
            <v>1.5205990000000001E-3</v>
          </cell>
        </row>
        <row r="262">
          <cell r="F262" t="str">
            <v>East Bay Regional Park District</v>
          </cell>
          <cell r="J262">
            <v>4</v>
          </cell>
          <cell r="K262">
            <v>1.9482519999999999E-3</v>
          </cell>
        </row>
        <row r="263">
          <cell r="F263" t="str">
            <v>East Bay Regional Park District</v>
          </cell>
          <cell r="J263">
            <v>4</v>
          </cell>
          <cell r="K263">
            <v>2.376183E-3</v>
          </cell>
        </row>
        <row r="264">
          <cell r="F264" t="str">
            <v>East Bay Regional Park District</v>
          </cell>
          <cell r="J264">
            <v>4</v>
          </cell>
          <cell r="K264">
            <v>2.8040280000000001E-3</v>
          </cell>
        </row>
        <row r="265">
          <cell r="F265" t="str">
            <v>East Bay Regional Park District</v>
          </cell>
          <cell r="J265">
            <v>4</v>
          </cell>
          <cell r="K265">
            <v>2.8611489999999999E-3</v>
          </cell>
        </row>
        <row r="266">
          <cell r="F266" t="str">
            <v>East Bay Regional Park District</v>
          </cell>
          <cell r="J266">
            <v>4</v>
          </cell>
          <cell r="K266">
            <v>3.3756429999999999E-4</v>
          </cell>
        </row>
        <row r="267">
          <cell r="F267" t="str">
            <v>East Bay Regional Park District</v>
          </cell>
          <cell r="J267">
            <v>4</v>
          </cell>
          <cell r="K267">
            <v>3.119868E-3</v>
          </cell>
        </row>
        <row r="268">
          <cell r="F268" t="str">
            <v>East Bay Regional Park District</v>
          </cell>
          <cell r="J268">
            <v>4</v>
          </cell>
          <cell r="K268">
            <v>4.6933399999999998E-3</v>
          </cell>
        </row>
        <row r="269">
          <cell r="F269" t="str">
            <v>East Bay Regional Park District</v>
          </cell>
          <cell r="J269">
            <v>4</v>
          </cell>
          <cell r="K269">
            <v>0.10962719999999999</v>
          </cell>
        </row>
        <row r="270">
          <cell r="F270" t="str">
            <v>East Bay Regional Park District</v>
          </cell>
          <cell r="J270">
            <v>4</v>
          </cell>
          <cell r="K270">
            <v>6.2202869999999997E-3</v>
          </cell>
        </row>
        <row r="271">
          <cell r="F271" t="str">
            <v>East Bay Regional Park District</v>
          </cell>
          <cell r="J271">
            <v>4</v>
          </cell>
          <cell r="K271">
            <v>6.8885600000000005E-2</v>
          </cell>
        </row>
        <row r="272">
          <cell r="F272" t="str">
            <v>East Bay Regional Park District</v>
          </cell>
          <cell r="J272">
            <v>4</v>
          </cell>
          <cell r="K272">
            <v>1.9115259999999999E-2</v>
          </cell>
        </row>
        <row r="273">
          <cell r="F273" t="str">
            <v>East Bay Regional Park District</v>
          </cell>
          <cell r="J273">
            <v>4</v>
          </cell>
          <cell r="K273">
            <v>1.9828640000000002E-2</v>
          </cell>
        </row>
        <row r="274">
          <cell r="F274" t="str">
            <v>East Bay Regional Park District</v>
          </cell>
          <cell r="J274">
            <v>4</v>
          </cell>
          <cell r="K274">
            <v>2.5043209999999999E-3</v>
          </cell>
        </row>
        <row r="275">
          <cell r="F275" t="str">
            <v>East Bay Regional Park District</v>
          </cell>
          <cell r="J275">
            <v>4</v>
          </cell>
          <cell r="K275">
            <v>2.7533269999999999E-3</v>
          </cell>
        </row>
        <row r="276">
          <cell r="F276" t="str">
            <v>East Bay Regional Park District</v>
          </cell>
          <cell r="J276">
            <v>4</v>
          </cell>
          <cell r="K276">
            <v>1.655819E-2</v>
          </cell>
        </row>
        <row r="277">
          <cell r="F277" t="str">
            <v>Pinole Public Works Department</v>
          </cell>
          <cell r="J277">
            <v>4</v>
          </cell>
          <cell r="K277">
            <v>4.5218810000000002E-3</v>
          </cell>
        </row>
        <row r="278">
          <cell r="F278" t="str">
            <v>Pinole Public Works Department</v>
          </cell>
          <cell r="J278">
            <v>4</v>
          </cell>
          <cell r="K278">
            <v>1.9292469999999999E-2</v>
          </cell>
        </row>
        <row r="279">
          <cell r="F279" t="str">
            <v>Pinole Public Works Department</v>
          </cell>
          <cell r="J279">
            <v>4</v>
          </cell>
          <cell r="K279">
            <v>9.5929740000000006E-3</v>
          </cell>
        </row>
        <row r="280">
          <cell r="F280" t="str">
            <v>Pinole Public Works Department</v>
          </cell>
          <cell r="J280">
            <v>4</v>
          </cell>
          <cell r="K280">
            <v>3.003847E-3</v>
          </cell>
        </row>
        <row r="281">
          <cell r="F281" t="str">
            <v>Pinole Public Works Department</v>
          </cell>
          <cell r="J281">
            <v>4</v>
          </cell>
          <cell r="K281">
            <v>3.5949089999999999E-3</v>
          </cell>
        </row>
        <row r="282">
          <cell r="F282" t="str">
            <v>Pinole Public Works Department</v>
          </cell>
          <cell r="J282">
            <v>4</v>
          </cell>
          <cell r="K282">
            <v>3.7945589999999999E-3</v>
          </cell>
        </row>
        <row r="283">
          <cell r="F283" t="str">
            <v>Pinole Public Works Department</v>
          </cell>
          <cell r="J283">
            <v>4</v>
          </cell>
          <cell r="K283">
            <v>1.5643650000000001E-3</v>
          </cell>
        </row>
        <row r="284">
          <cell r="F284" t="str">
            <v>Pinole Public Works Department</v>
          </cell>
          <cell r="J284">
            <v>4</v>
          </cell>
          <cell r="K284">
            <v>3.5139730000000001E-3</v>
          </cell>
        </row>
        <row r="285">
          <cell r="F285" t="str">
            <v>Pinole Public Works Department</v>
          </cell>
          <cell r="J285">
            <v>4</v>
          </cell>
          <cell r="K285">
            <v>4.0875260000000002E-3</v>
          </cell>
        </row>
        <row r="286">
          <cell r="F286" t="str">
            <v>Pinole Public Works Department</v>
          </cell>
          <cell r="J286">
            <v>4</v>
          </cell>
          <cell r="K286">
            <v>4.6720909999999997E-2</v>
          </cell>
        </row>
        <row r="287">
          <cell r="F287" t="str">
            <v>Pinole Public Works Department</v>
          </cell>
          <cell r="J287">
            <v>4</v>
          </cell>
          <cell r="K287">
            <v>2.8123179999999998E-3</v>
          </cell>
        </row>
        <row r="288">
          <cell r="F288" t="str">
            <v>Pinole Public Works Department</v>
          </cell>
          <cell r="J288">
            <v>4</v>
          </cell>
          <cell r="K288">
            <v>3.4805719999999999E-3</v>
          </cell>
        </row>
        <row r="289">
          <cell r="F289" t="str">
            <v>Pinole Public Works Department</v>
          </cell>
          <cell r="J289">
            <v>4</v>
          </cell>
          <cell r="K289">
            <v>1.05395E-2</v>
          </cell>
        </row>
        <row r="290">
          <cell r="F290" t="str">
            <v>Pinole Public Works Department</v>
          </cell>
          <cell r="J290">
            <v>4</v>
          </cell>
          <cell r="K290">
            <v>1.2372869999999999E-3</v>
          </cell>
        </row>
        <row r="291">
          <cell r="F291" t="str">
            <v>Pinole Public Works Department</v>
          </cell>
          <cell r="J291">
            <v>4</v>
          </cell>
          <cell r="K291">
            <v>3.0392700000000001E-4</v>
          </cell>
        </row>
        <row r="292">
          <cell r="F292" t="str">
            <v>Pinole Public Works Department</v>
          </cell>
          <cell r="J292">
            <v>4</v>
          </cell>
          <cell r="K292">
            <v>1.3115539999999999E-3</v>
          </cell>
        </row>
        <row r="293">
          <cell r="F293" t="str">
            <v>Pinole Public Works Department</v>
          </cell>
          <cell r="J293">
            <v>4</v>
          </cell>
          <cell r="K293">
            <v>1.8858659999999999E-2</v>
          </cell>
        </row>
        <row r="294">
          <cell r="F294" t="str">
            <v>Pinole Public Works Department</v>
          </cell>
          <cell r="J294">
            <v>4</v>
          </cell>
          <cell r="K294">
            <v>1.283579E-2</v>
          </cell>
        </row>
        <row r="295">
          <cell r="F295" t="str">
            <v>Pinole Public Works Department</v>
          </cell>
          <cell r="J295">
            <v>4</v>
          </cell>
          <cell r="K295">
            <v>8.7077390000000008E-3</v>
          </cell>
        </row>
        <row r="296">
          <cell r="F296" t="str">
            <v>Pinole Public Works Department</v>
          </cell>
          <cell r="J296">
            <v>4</v>
          </cell>
          <cell r="K296">
            <v>1.1045910000000001E-2</v>
          </cell>
        </row>
        <row r="297">
          <cell r="F297" t="str">
            <v>Port of Richmond</v>
          </cell>
          <cell r="J297">
            <v>4</v>
          </cell>
          <cell r="K297">
            <v>5.3433990000000004E-3</v>
          </cell>
        </row>
        <row r="298">
          <cell r="F298" t="str">
            <v>Port of Richmond</v>
          </cell>
          <cell r="J298">
            <v>4</v>
          </cell>
          <cell r="K298">
            <v>3.0634939999999999E-3</v>
          </cell>
        </row>
        <row r="299">
          <cell r="F299" t="str">
            <v>Port of Richmond</v>
          </cell>
          <cell r="J299">
            <v>4</v>
          </cell>
          <cell r="K299">
            <v>2.3006599999999999E-3</v>
          </cell>
        </row>
        <row r="300">
          <cell r="F300" t="str">
            <v>Port of Richmond</v>
          </cell>
          <cell r="J300">
            <v>4</v>
          </cell>
          <cell r="K300">
            <v>2.1459220000000001E-4</v>
          </cell>
        </row>
        <row r="301">
          <cell r="F301" t="str">
            <v>Richmond Public Works Dept</v>
          </cell>
          <cell r="J301">
            <v>4</v>
          </cell>
          <cell r="K301">
            <v>2.8813530000000001E-3</v>
          </cell>
        </row>
        <row r="302">
          <cell r="F302" t="str">
            <v>Richmond Public Works Dept</v>
          </cell>
          <cell r="J302">
            <v>4</v>
          </cell>
          <cell r="K302">
            <v>1.6906670000000001E-3</v>
          </cell>
        </row>
        <row r="303">
          <cell r="F303" t="str">
            <v>Richmond Public Works Dept</v>
          </cell>
          <cell r="J303">
            <v>4</v>
          </cell>
          <cell r="K303">
            <v>7.5311470000000004E-5</v>
          </cell>
        </row>
        <row r="304">
          <cell r="F304" t="str">
            <v>Richmond Public Works Dept</v>
          </cell>
          <cell r="J304">
            <v>4</v>
          </cell>
          <cell r="K304">
            <v>2.558982E-3</v>
          </cell>
        </row>
        <row r="305">
          <cell r="F305" t="str">
            <v>Richmond Public Works Dept</v>
          </cell>
          <cell r="J305">
            <v>4</v>
          </cell>
          <cell r="K305">
            <v>3.5522860000000002E-5</v>
          </cell>
        </row>
        <row r="306">
          <cell r="F306" t="str">
            <v>Richmond Public Works Dept</v>
          </cell>
          <cell r="J306">
            <v>4</v>
          </cell>
          <cell r="K306">
            <v>3.1467019999999999E-3</v>
          </cell>
        </row>
        <row r="307">
          <cell r="F307" t="str">
            <v>Richmond Public Works Dept</v>
          </cell>
          <cell r="J307">
            <v>4</v>
          </cell>
          <cell r="K307">
            <v>3.1467510000000001E-3</v>
          </cell>
        </row>
        <row r="308">
          <cell r="F308" t="str">
            <v>Richmond Public Works Dept</v>
          </cell>
          <cell r="J308">
            <v>4</v>
          </cell>
          <cell r="K308">
            <v>3.1885160000000002E-3</v>
          </cell>
        </row>
        <row r="309">
          <cell r="F309" t="str">
            <v>Richmond Public Works Dept</v>
          </cell>
          <cell r="J309">
            <v>4</v>
          </cell>
          <cell r="K309">
            <v>3.1036570000000001E-3</v>
          </cell>
        </row>
        <row r="310">
          <cell r="F310" t="str">
            <v>Richmond Public Works Dept</v>
          </cell>
          <cell r="J310">
            <v>4</v>
          </cell>
          <cell r="K310">
            <v>0.13961190000000001</v>
          </cell>
        </row>
        <row r="311">
          <cell r="F311" t="str">
            <v>Richmond Public Works Dept</v>
          </cell>
          <cell r="J311">
            <v>4</v>
          </cell>
          <cell r="K311">
            <v>1.274718E-2</v>
          </cell>
        </row>
        <row r="312">
          <cell r="F312" t="str">
            <v>Richmond Public Works Dept</v>
          </cell>
          <cell r="J312">
            <v>4</v>
          </cell>
          <cell r="K312">
            <v>7.5527479999999994E-2</v>
          </cell>
        </row>
        <row r="313">
          <cell r="F313" t="str">
            <v>Richmond Public Works Dept</v>
          </cell>
          <cell r="J313">
            <v>4</v>
          </cell>
          <cell r="K313">
            <v>3.3837770000000001E-3</v>
          </cell>
        </row>
        <row r="314">
          <cell r="F314" t="str">
            <v>Richmond Public Works Dept</v>
          </cell>
          <cell r="J314">
            <v>4</v>
          </cell>
          <cell r="K314">
            <v>3.3836890000000001E-3</v>
          </cell>
        </row>
        <row r="315">
          <cell r="F315" t="str">
            <v>Richmond Public Works Dept</v>
          </cell>
          <cell r="J315">
            <v>4</v>
          </cell>
          <cell r="K315">
            <v>3.1405309999999998E-3</v>
          </cell>
        </row>
        <row r="316">
          <cell r="F316" t="str">
            <v>Richmond Public Works Dept</v>
          </cell>
          <cell r="J316">
            <v>4</v>
          </cell>
          <cell r="K316">
            <v>3.3837770000000001E-3</v>
          </cell>
        </row>
        <row r="317">
          <cell r="F317" t="str">
            <v>Richmond Public Works Dept</v>
          </cell>
          <cell r="J317">
            <v>4</v>
          </cell>
          <cell r="K317">
            <v>2.2027069999999999E-3</v>
          </cell>
        </row>
        <row r="318">
          <cell r="F318" t="str">
            <v>Richmond Public Works Dept</v>
          </cell>
          <cell r="J318">
            <v>4</v>
          </cell>
          <cell r="K318">
            <v>3.2986109999999999E-3</v>
          </cell>
        </row>
        <row r="319">
          <cell r="F319" t="str">
            <v>Richmond Public Works Dept</v>
          </cell>
          <cell r="J319">
            <v>4</v>
          </cell>
          <cell r="K319">
            <v>1.6117130000000001E-3</v>
          </cell>
        </row>
        <row r="320">
          <cell r="F320" t="str">
            <v>Richmond Public Works Dept</v>
          </cell>
          <cell r="J320">
            <v>4</v>
          </cell>
          <cell r="K320">
            <v>1.858777E-3</v>
          </cell>
        </row>
        <row r="321">
          <cell r="F321" t="str">
            <v>Richmond Public Works Dept</v>
          </cell>
          <cell r="J321">
            <v>4</v>
          </cell>
          <cell r="K321">
            <v>4.4900749999999996E-3</v>
          </cell>
        </row>
        <row r="322">
          <cell r="F322" t="str">
            <v>Richmond Public Works Dept</v>
          </cell>
          <cell r="J322">
            <v>4</v>
          </cell>
          <cell r="K322">
            <v>2.9652179999999999E-3</v>
          </cell>
        </row>
        <row r="323">
          <cell r="F323" t="str">
            <v>Richmond Public Works Dept</v>
          </cell>
          <cell r="J323">
            <v>4</v>
          </cell>
          <cell r="K323">
            <v>1.502696E-3</v>
          </cell>
        </row>
        <row r="324">
          <cell r="F324" t="str">
            <v>Richmond Public Works Dept</v>
          </cell>
          <cell r="J324">
            <v>4</v>
          </cell>
          <cell r="K324">
            <v>3.0656619999999998E-3</v>
          </cell>
        </row>
        <row r="325">
          <cell r="F325" t="str">
            <v>Richmond Public Works Dept</v>
          </cell>
          <cell r="J325">
            <v>4</v>
          </cell>
          <cell r="K325">
            <v>4.8526630000000001E-3</v>
          </cell>
        </row>
        <row r="326">
          <cell r="F326" t="str">
            <v>Richmond Public Works Dept</v>
          </cell>
          <cell r="J326">
            <v>4</v>
          </cell>
          <cell r="K326">
            <v>9.8329699999999999E-3</v>
          </cell>
        </row>
        <row r="327">
          <cell r="F327" t="str">
            <v>Richmond Public Works Dept</v>
          </cell>
          <cell r="J327">
            <v>4</v>
          </cell>
          <cell r="K327">
            <v>2.713426E-2</v>
          </cell>
        </row>
        <row r="328">
          <cell r="F328" t="str">
            <v>Richmond Public Works Dept</v>
          </cell>
          <cell r="J328">
            <v>4</v>
          </cell>
          <cell r="K328">
            <v>2.903868E-3</v>
          </cell>
        </row>
        <row r="329">
          <cell r="F329" t="str">
            <v>Richmond Public Works Dept</v>
          </cell>
          <cell r="J329">
            <v>4</v>
          </cell>
          <cell r="K329">
            <v>2.9406549999999999E-3</v>
          </cell>
        </row>
        <row r="330">
          <cell r="F330" t="str">
            <v>Richmond Public Works Dept</v>
          </cell>
          <cell r="J330">
            <v>4</v>
          </cell>
          <cell r="K330">
            <v>2.940621E-3</v>
          </cell>
        </row>
        <row r="331">
          <cell r="F331" t="str">
            <v>Richmond Public Works Dept</v>
          </cell>
          <cell r="J331">
            <v>4</v>
          </cell>
          <cell r="K331">
            <v>2.9404829999999998E-3</v>
          </cell>
        </row>
        <row r="332">
          <cell r="F332" t="str">
            <v>Richmond Public Works Dept</v>
          </cell>
          <cell r="J332">
            <v>4</v>
          </cell>
          <cell r="K332">
            <v>2.7891370000000001E-3</v>
          </cell>
        </row>
        <row r="333">
          <cell r="F333" t="str">
            <v>Richmond Public Works Dept</v>
          </cell>
          <cell r="J333">
            <v>4</v>
          </cell>
          <cell r="K333">
            <v>0.67874509999999999</v>
          </cell>
        </row>
        <row r="334">
          <cell r="F334" t="str">
            <v>Richmond Public Works Dept</v>
          </cell>
          <cell r="J334">
            <v>4</v>
          </cell>
          <cell r="K334">
            <v>7.4488590000000002E-4</v>
          </cell>
        </row>
        <row r="335">
          <cell r="F335" t="str">
            <v>Richmond Public Works Dept</v>
          </cell>
          <cell r="J335">
            <v>4</v>
          </cell>
          <cell r="K335">
            <v>2.594602E-4</v>
          </cell>
        </row>
        <row r="336">
          <cell r="F336" t="str">
            <v>Richmond Public Works Dept</v>
          </cell>
          <cell r="J336">
            <v>4</v>
          </cell>
          <cell r="K336">
            <v>1.4366730000000001E-3</v>
          </cell>
        </row>
        <row r="337">
          <cell r="F337" t="str">
            <v>Richmond Public Works Dept</v>
          </cell>
          <cell r="J337">
            <v>4</v>
          </cell>
          <cell r="K337">
            <v>9.3805539999999995E-4</v>
          </cell>
        </row>
        <row r="338">
          <cell r="F338" t="str">
            <v>Richmond Public Works Dept</v>
          </cell>
          <cell r="J338">
            <v>4</v>
          </cell>
          <cell r="K338">
            <v>3.5855930000000002E-3</v>
          </cell>
        </row>
        <row r="339">
          <cell r="F339" t="str">
            <v>Richmond Public Works Dept</v>
          </cell>
          <cell r="J339">
            <v>4</v>
          </cell>
          <cell r="K339">
            <v>3.1787130000000001E-3</v>
          </cell>
        </row>
        <row r="340">
          <cell r="F340" t="str">
            <v>Richmond Public Works Dept</v>
          </cell>
          <cell r="J340">
            <v>4</v>
          </cell>
          <cell r="K340">
            <v>2.771796E-3</v>
          </cell>
        </row>
        <row r="341">
          <cell r="F341" t="str">
            <v>Richmond Public Works Dept</v>
          </cell>
          <cell r="J341">
            <v>4</v>
          </cell>
          <cell r="K341">
            <v>2.364966E-3</v>
          </cell>
        </row>
        <row r="342">
          <cell r="F342" t="str">
            <v>Richmond Public Works Dept</v>
          </cell>
          <cell r="J342">
            <v>4</v>
          </cell>
          <cell r="K342">
            <v>2.3682120000000002E-3</v>
          </cell>
        </row>
        <row r="343">
          <cell r="F343" t="str">
            <v>Richmond Public Works Dept</v>
          </cell>
          <cell r="J343">
            <v>4</v>
          </cell>
          <cell r="K343">
            <v>1.7196340000000001E-2</v>
          </cell>
        </row>
        <row r="344">
          <cell r="F344" t="str">
            <v>Richmond Public Works Dept</v>
          </cell>
          <cell r="J344">
            <v>4</v>
          </cell>
          <cell r="K344">
            <v>1.417124E-2</v>
          </cell>
        </row>
        <row r="345">
          <cell r="F345" t="str">
            <v>Richmond Public Works Dept</v>
          </cell>
          <cell r="J345">
            <v>4</v>
          </cell>
          <cell r="K345">
            <v>7.6959929999999999E-3</v>
          </cell>
        </row>
        <row r="346">
          <cell r="F346" t="str">
            <v>Richmond Public Works Dept</v>
          </cell>
          <cell r="J346">
            <v>4</v>
          </cell>
          <cell r="K346">
            <v>6.4252900000000002E-3</v>
          </cell>
        </row>
        <row r="347">
          <cell r="F347" t="str">
            <v>Richmond Public Works Dept</v>
          </cell>
          <cell r="J347">
            <v>4</v>
          </cell>
          <cell r="K347">
            <v>1.682968E-2</v>
          </cell>
        </row>
        <row r="348">
          <cell r="F348" t="str">
            <v>Richmond Public Works Dept</v>
          </cell>
          <cell r="J348">
            <v>4</v>
          </cell>
          <cell r="K348">
            <v>2.2731880000000002E-3</v>
          </cell>
        </row>
        <row r="349">
          <cell r="F349" t="str">
            <v>Richmond Public Works Dept</v>
          </cell>
          <cell r="J349">
            <v>4</v>
          </cell>
          <cell r="K349">
            <v>9.9922129999999989E-4</v>
          </cell>
        </row>
        <row r="350">
          <cell r="F350" t="str">
            <v>Richmond Public Works Dept</v>
          </cell>
          <cell r="J350">
            <v>4</v>
          </cell>
          <cell r="K350">
            <v>1.382245E-3</v>
          </cell>
        </row>
        <row r="351">
          <cell r="F351" t="str">
            <v>Richmond Public Works Dept</v>
          </cell>
          <cell r="J351">
            <v>4</v>
          </cell>
          <cell r="K351">
            <v>2.131342E-2</v>
          </cell>
        </row>
        <row r="352">
          <cell r="F352" t="str">
            <v>Richmond Public Works Dept</v>
          </cell>
          <cell r="J352">
            <v>4</v>
          </cell>
          <cell r="K352">
            <v>3.2384979999999998E-3</v>
          </cell>
        </row>
        <row r="353">
          <cell r="F353" t="str">
            <v>Richmond Public Works Dept</v>
          </cell>
          <cell r="J353">
            <v>4</v>
          </cell>
          <cell r="K353">
            <v>4.9593390000000001E-3</v>
          </cell>
        </row>
        <row r="354">
          <cell r="F354" t="str">
            <v>Richmond Public Works Dept</v>
          </cell>
          <cell r="J354">
            <v>4</v>
          </cell>
          <cell r="K354">
            <v>7.4645859999999996E-3</v>
          </cell>
        </row>
        <row r="355">
          <cell r="F355" t="str">
            <v>Richmond Public Works Dept</v>
          </cell>
          <cell r="J355">
            <v>4</v>
          </cell>
          <cell r="K355">
            <v>1.5513539999999999E-2</v>
          </cell>
        </row>
        <row r="356">
          <cell r="F356" t="str">
            <v>Richmond Public Works Dept</v>
          </cell>
          <cell r="J356">
            <v>4</v>
          </cell>
          <cell r="K356">
            <v>2.4882160000000001E-3</v>
          </cell>
        </row>
        <row r="357">
          <cell r="F357" t="str">
            <v>Richmond Public Works Dept</v>
          </cell>
          <cell r="J357">
            <v>4</v>
          </cell>
          <cell r="K357">
            <v>1.179729E-2</v>
          </cell>
        </row>
        <row r="358">
          <cell r="F358" t="str">
            <v>Richmond Public Works Dept</v>
          </cell>
          <cell r="J358">
            <v>4</v>
          </cell>
          <cell r="K358">
            <v>3.3234599999999999E-3</v>
          </cell>
        </row>
        <row r="359">
          <cell r="F359" t="str">
            <v>Richmond Public Works Dept</v>
          </cell>
          <cell r="J359">
            <v>4</v>
          </cell>
          <cell r="K359">
            <v>3.323417E-3</v>
          </cell>
        </row>
        <row r="360">
          <cell r="F360" t="str">
            <v>Richmond Public Works Dept</v>
          </cell>
          <cell r="J360">
            <v>4</v>
          </cell>
          <cell r="K360">
            <v>3.185167E-3</v>
          </cell>
        </row>
        <row r="361">
          <cell r="F361" t="str">
            <v>Richmond Public Works Dept</v>
          </cell>
          <cell r="J361">
            <v>4</v>
          </cell>
          <cell r="K361">
            <v>4.60569E-3</v>
          </cell>
        </row>
        <row r="362">
          <cell r="F362" t="str">
            <v>Richmond Public Works Dept</v>
          </cell>
          <cell r="J362">
            <v>4</v>
          </cell>
          <cell r="K362">
            <v>1.2815E-2</v>
          </cell>
        </row>
        <row r="363">
          <cell r="F363" t="str">
            <v>Richmond Public Works Dept</v>
          </cell>
          <cell r="J363">
            <v>4</v>
          </cell>
          <cell r="K363">
            <v>1.9437899999999999E-3</v>
          </cell>
        </row>
        <row r="364">
          <cell r="F364" t="str">
            <v>Richmond Public Works Dept</v>
          </cell>
          <cell r="J364">
            <v>4</v>
          </cell>
          <cell r="K364">
            <v>6.7041330000000001E-3</v>
          </cell>
        </row>
        <row r="365">
          <cell r="F365" t="str">
            <v>Richmond Public Works Dept</v>
          </cell>
          <cell r="J365">
            <v>4</v>
          </cell>
          <cell r="K365">
            <v>3.2260629999999999E-3</v>
          </cell>
        </row>
        <row r="366">
          <cell r="F366" t="str">
            <v>Richmond Public Works Dept</v>
          </cell>
          <cell r="J366">
            <v>4</v>
          </cell>
          <cell r="K366">
            <v>4.5083359999999999E-3</v>
          </cell>
        </row>
        <row r="367">
          <cell r="F367" t="str">
            <v>Richmond Public Works Dept</v>
          </cell>
          <cell r="J367">
            <v>4</v>
          </cell>
          <cell r="K367">
            <v>2.4673669999999998E-3</v>
          </cell>
        </row>
        <row r="368">
          <cell r="F368" t="str">
            <v>Richmond Public Works Dept</v>
          </cell>
          <cell r="J368">
            <v>4</v>
          </cell>
          <cell r="K368">
            <v>3.3233719999999998E-3</v>
          </cell>
        </row>
        <row r="369">
          <cell r="F369" t="str">
            <v>Richmond Public Works Dept</v>
          </cell>
          <cell r="J369">
            <v>4</v>
          </cell>
          <cell r="K369">
            <v>1.340132E-2</v>
          </cell>
        </row>
        <row r="370">
          <cell r="F370" t="str">
            <v>Richmond Public Works Dept</v>
          </cell>
          <cell r="J370">
            <v>4</v>
          </cell>
          <cell r="K370">
            <v>8.1216510000000006E-3</v>
          </cell>
        </row>
        <row r="371">
          <cell r="F371" t="str">
            <v>Richmond Public Works Dept</v>
          </cell>
          <cell r="J371">
            <v>4</v>
          </cell>
          <cell r="K371">
            <v>2.5818400000000002E-3</v>
          </cell>
        </row>
        <row r="372">
          <cell r="F372" t="str">
            <v>Richmond Public Works Dept</v>
          </cell>
          <cell r="J372">
            <v>4</v>
          </cell>
          <cell r="K372">
            <v>6.4526890000000003E-2</v>
          </cell>
        </row>
        <row r="373">
          <cell r="F373" t="str">
            <v>Richmond Public Works Dept</v>
          </cell>
          <cell r="J373">
            <v>4</v>
          </cell>
          <cell r="K373">
            <v>3.3682629999999998E-3</v>
          </cell>
        </row>
        <row r="374">
          <cell r="F374" t="str">
            <v>Richmond Public Works Dept</v>
          </cell>
          <cell r="J374">
            <v>4</v>
          </cell>
          <cell r="K374">
            <v>1.9699370000000001E-2</v>
          </cell>
        </row>
        <row r="375">
          <cell r="F375" t="str">
            <v>Richmond Public Works Dept</v>
          </cell>
          <cell r="J375">
            <v>4</v>
          </cell>
          <cell r="K375">
            <v>2.4752239999999998E-2</v>
          </cell>
        </row>
        <row r="376">
          <cell r="F376" t="str">
            <v>Richmond Public Works Dept</v>
          </cell>
          <cell r="J376">
            <v>4</v>
          </cell>
          <cell r="K376">
            <v>2.0795689999999999E-3</v>
          </cell>
        </row>
        <row r="377">
          <cell r="F377" t="str">
            <v>Richmond Public Works Dept</v>
          </cell>
          <cell r="J377">
            <v>4</v>
          </cell>
          <cell r="K377">
            <v>7.729061E-4</v>
          </cell>
        </row>
        <row r="378">
          <cell r="F378" t="str">
            <v>Richmond Public Works Dept</v>
          </cell>
          <cell r="J378">
            <v>4</v>
          </cell>
          <cell r="K378">
            <v>1.4735130000000001E-3</v>
          </cell>
        </row>
        <row r="379">
          <cell r="F379" t="str">
            <v>Richmond Public Works Dept</v>
          </cell>
          <cell r="J379">
            <v>4</v>
          </cell>
          <cell r="K379">
            <v>1.6658729999999999E-4</v>
          </cell>
        </row>
        <row r="380">
          <cell r="F380" t="str">
            <v>Richmond Public Works Dept</v>
          </cell>
          <cell r="J380">
            <v>4</v>
          </cell>
          <cell r="K380">
            <v>1.7090310000000001E-4</v>
          </cell>
        </row>
        <row r="381">
          <cell r="F381" t="str">
            <v>Richmond Public Works Dept</v>
          </cell>
          <cell r="J381">
            <v>4</v>
          </cell>
          <cell r="K381">
            <v>5.0989950000000003E-4</v>
          </cell>
        </row>
        <row r="382">
          <cell r="F382" t="str">
            <v>Richmond Public Works Dept</v>
          </cell>
          <cell r="J382">
            <v>4</v>
          </cell>
          <cell r="K382">
            <v>8.4875870000000004E-4</v>
          </cell>
        </row>
        <row r="383">
          <cell r="F383" t="str">
            <v>Richmond Public Works Dept</v>
          </cell>
          <cell r="J383">
            <v>4</v>
          </cell>
          <cell r="K383">
            <v>1.1876180000000001E-3</v>
          </cell>
        </row>
        <row r="384">
          <cell r="F384" t="str">
            <v>Richmond Public Works Dept</v>
          </cell>
          <cell r="J384">
            <v>4</v>
          </cell>
          <cell r="K384">
            <v>1.526491E-3</v>
          </cell>
        </row>
        <row r="385">
          <cell r="F385" t="str">
            <v>Richmond Public Works Dept</v>
          </cell>
          <cell r="J385">
            <v>4</v>
          </cell>
          <cell r="K385">
            <v>2.5061030000000001E-2</v>
          </cell>
        </row>
        <row r="386">
          <cell r="F386" t="str">
            <v>Richmond Public Works Dept</v>
          </cell>
          <cell r="J386">
            <v>4</v>
          </cell>
          <cell r="K386">
            <v>3.172518E-3</v>
          </cell>
        </row>
        <row r="387">
          <cell r="F387" t="str">
            <v>Richmond Public Works Dept</v>
          </cell>
          <cell r="J387">
            <v>4</v>
          </cell>
          <cell r="K387">
            <v>2.5996370000000001E-3</v>
          </cell>
        </row>
        <row r="388">
          <cell r="F388" t="str">
            <v>Richmond Public Works Dept</v>
          </cell>
          <cell r="J388">
            <v>4</v>
          </cell>
          <cell r="K388">
            <v>2.001334E-3</v>
          </cell>
        </row>
        <row r="389">
          <cell r="F389" t="str">
            <v>Richmond Public Works Dept</v>
          </cell>
          <cell r="J389">
            <v>4</v>
          </cell>
          <cell r="K389">
            <v>1.215523E-3</v>
          </cell>
        </row>
        <row r="390">
          <cell r="F390" t="str">
            <v>Richmond Public Works Dept</v>
          </cell>
          <cell r="J390">
            <v>4</v>
          </cell>
          <cell r="K390">
            <v>7.6546979999999996E-5</v>
          </cell>
        </row>
        <row r="391">
          <cell r="F391" t="str">
            <v>Richmond Public Works Dept</v>
          </cell>
          <cell r="J391">
            <v>4</v>
          </cell>
          <cell r="K391">
            <v>1.8328489999999999E-3</v>
          </cell>
        </row>
        <row r="392">
          <cell r="F392" t="str">
            <v>Richmond Public Works Dept</v>
          </cell>
          <cell r="J392">
            <v>4</v>
          </cell>
          <cell r="K392">
            <v>2.5477840000000002E-2</v>
          </cell>
        </row>
        <row r="393">
          <cell r="F393" t="str">
            <v>Richmond Public Works Dept</v>
          </cell>
          <cell r="J393">
            <v>4</v>
          </cell>
          <cell r="K393">
            <v>4.760756E-4</v>
          </cell>
        </row>
        <row r="394">
          <cell r="F394" t="str">
            <v>Richmond Public Works Dept</v>
          </cell>
          <cell r="J394">
            <v>4</v>
          </cell>
          <cell r="K394">
            <v>1.089847E-2</v>
          </cell>
        </row>
        <row r="395">
          <cell r="F395" t="str">
            <v>Richmond Public Works Dept</v>
          </cell>
          <cell r="J395">
            <v>4</v>
          </cell>
          <cell r="K395">
            <v>1.964585E-3</v>
          </cell>
        </row>
        <row r="396">
          <cell r="F396" t="str">
            <v>Richmond Public Works Dept</v>
          </cell>
          <cell r="J396">
            <v>4</v>
          </cell>
          <cell r="K396">
            <v>8.473097E-4</v>
          </cell>
        </row>
        <row r="397">
          <cell r="F397" t="str">
            <v>Richmond Public Works Dept</v>
          </cell>
          <cell r="J397">
            <v>4</v>
          </cell>
          <cell r="K397">
            <v>1.5007740000000001E-3</v>
          </cell>
        </row>
        <row r="398">
          <cell r="F398" t="str">
            <v>Richmond Public Works Dept</v>
          </cell>
          <cell r="J398">
            <v>4</v>
          </cell>
          <cell r="K398">
            <v>3.6386270000000002E-3</v>
          </cell>
        </row>
        <row r="399">
          <cell r="F399" t="str">
            <v>Richmond Public Works Dept</v>
          </cell>
          <cell r="J399">
            <v>4</v>
          </cell>
          <cell r="K399">
            <v>8.6378589999999995E-3</v>
          </cell>
        </row>
        <row r="400">
          <cell r="F400" t="str">
            <v>Richmond Public Works Dept</v>
          </cell>
          <cell r="J400">
            <v>4</v>
          </cell>
          <cell r="K400">
            <v>1.105783E-4</v>
          </cell>
        </row>
        <row r="401">
          <cell r="F401" t="str">
            <v>Richmond Public Works Dept</v>
          </cell>
          <cell r="J401">
            <v>4</v>
          </cell>
          <cell r="K401">
            <v>2.4581400000000002E-3</v>
          </cell>
        </row>
        <row r="402">
          <cell r="F402" t="str">
            <v>Richmond Public Works Dept</v>
          </cell>
          <cell r="J402">
            <v>4</v>
          </cell>
          <cell r="K402">
            <v>3.1959139999999997E-2</v>
          </cell>
        </row>
        <row r="403">
          <cell r="F403" t="str">
            <v>Richmond Public Works Dept</v>
          </cell>
          <cell r="J403">
            <v>4</v>
          </cell>
          <cell r="K403">
            <v>3.1025660000000002E-3</v>
          </cell>
        </row>
        <row r="404">
          <cell r="F404" t="str">
            <v>Richmond Public Works Dept</v>
          </cell>
          <cell r="J404">
            <v>4</v>
          </cell>
          <cell r="K404">
            <v>3.1025660000000002E-3</v>
          </cell>
        </row>
        <row r="405">
          <cell r="F405" t="str">
            <v>Richmond Public Works Dept</v>
          </cell>
          <cell r="J405">
            <v>4</v>
          </cell>
          <cell r="K405">
            <v>2.9529010000000001E-4</v>
          </cell>
        </row>
        <row r="406">
          <cell r="F406" t="str">
            <v>Richmond Public Works Dept</v>
          </cell>
          <cell r="J406">
            <v>4</v>
          </cell>
          <cell r="K406">
            <v>1.72065E-2</v>
          </cell>
        </row>
        <row r="407">
          <cell r="F407" t="str">
            <v>Caltrans</v>
          </cell>
          <cell r="J407">
            <v>5</v>
          </cell>
          <cell r="K407">
            <v>7.2854180000000003E-4</v>
          </cell>
        </row>
        <row r="408">
          <cell r="F408" t="str">
            <v>Contra Costa County Public Works</v>
          </cell>
          <cell r="J408">
            <v>5</v>
          </cell>
          <cell r="K408">
            <v>6.2051010000000002E-3</v>
          </cell>
        </row>
        <row r="409">
          <cell r="F409" t="str">
            <v>Contra Costa County Public Works</v>
          </cell>
          <cell r="J409">
            <v>5</v>
          </cell>
          <cell r="K409">
            <v>3.5225310000000002E-3</v>
          </cell>
        </row>
        <row r="410">
          <cell r="F410" t="str">
            <v>Contra Costa County Public Works</v>
          </cell>
          <cell r="J410">
            <v>5</v>
          </cell>
          <cell r="K410">
            <v>2.4537769999999999E-3</v>
          </cell>
        </row>
        <row r="411">
          <cell r="F411" t="str">
            <v>Contra Costa County Public Works</v>
          </cell>
          <cell r="J411">
            <v>5</v>
          </cell>
          <cell r="K411">
            <v>8.1414239999999995E-3</v>
          </cell>
        </row>
        <row r="412">
          <cell r="F412" t="str">
            <v>Contra Costa County Public Works</v>
          </cell>
          <cell r="J412">
            <v>5</v>
          </cell>
          <cell r="K412">
            <v>2.7719889999999999E-3</v>
          </cell>
        </row>
        <row r="413">
          <cell r="F413" t="str">
            <v>Contra Costa County Public Works</v>
          </cell>
          <cell r="J413">
            <v>5</v>
          </cell>
          <cell r="K413">
            <v>1.906163E-3</v>
          </cell>
        </row>
        <row r="414">
          <cell r="F414" t="str">
            <v>Contra Costa County Public Works</v>
          </cell>
          <cell r="J414">
            <v>5</v>
          </cell>
          <cell r="K414">
            <v>8.4109730000000004E-3</v>
          </cell>
        </row>
        <row r="415">
          <cell r="F415" t="str">
            <v>Contra Costa County Public Works</v>
          </cell>
          <cell r="J415">
            <v>5</v>
          </cell>
          <cell r="K415">
            <v>2.3389109999999999E-3</v>
          </cell>
        </row>
        <row r="416">
          <cell r="F416" t="str">
            <v>Contra Costa County Public Works</v>
          </cell>
          <cell r="J416">
            <v>5</v>
          </cell>
          <cell r="K416">
            <v>2.7376000000000001E-4</v>
          </cell>
        </row>
        <row r="417">
          <cell r="F417" t="str">
            <v>Contra Costa County Public Works</v>
          </cell>
          <cell r="J417">
            <v>5</v>
          </cell>
          <cell r="K417">
            <v>4.9918890000000002E-3</v>
          </cell>
        </row>
        <row r="418">
          <cell r="F418" t="str">
            <v>Contra Costa County Public Works</v>
          </cell>
          <cell r="J418">
            <v>5</v>
          </cell>
          <cell r="K418">
            <v>1.8656720000000001E-3</v>
          </cell>
        </row>
        <row r="419">
          <cell r="F419" t="str">
            <v>Contra Costa County Public Works</v>
          </cell>
          <cell r="J419">
            <v>5</v>
          </cell>
          <cell r="K419">
            <v>2.3962050000000002E-3</v>
          </cell>
        </row>
        <row r="420">
          <cell r="F420" t="str">
            <v>Contra Costa County Public Works</v>
          </cell>
          <cell r="J420">
            <v>5</v>
          </cell>
          <cell r="K420">
            <v>3.3136359999999998E-4</v>
          </cell>
        </row>
        <row r="421">
          <cell r="F421" t="str">
            <v>Contra Costa County Public Works</v>
          </cell>
          <cell r="J421">
            <v>5</v>
          </cell>
          <cell r="K421">
            <v>8.6203029999999995E-4</v>
          </cell>
        </row>
        <row r="422">
          <cell r="F422" t="str">
            <v>Contra Costa County Public Works</v>
          </cell>
          <cell r="J422">
            <v>5</v>
          </cell>
          <cell r="K422">
            <v>1.37801E-4</v>
          </cell>
        </row>
        <row r="423">
          <cell r="F423" t="str">
            <v>Contra Costa County Public Works</v>
          </cell>
          <cell r="J423">
            <v>5</v>
          </cell>
          <cell r="K423">
            <v>7.6048050000000001E-3</v>
          </cell>
        </row>
        <row r="424">
          <cell r="F424" t="str">
            <v>Contra Costa County Public Works</v>
          </cell>
          <cell r="J424">
            <v>5</v>
          </cell>
          <cell r="K424">
            <v>1.2649009999999999E-3</v>
          </cell>
        </row>
        <row r="425">
          <cell r="F425" t="str">
            <v>Contra Costa County Public Works</v>
          </cell>
          <cell r="J425">
            <v>5</v>
          </cell>
          <cell r="K425">
            <v>1.9821489999999999E-3</v>
          </cell>
        </row>
        <row r="426">
          <cell r="F426" t="str">
            <v>Contra Costa County Public Works</v>
          </cell>
          <cell r="J426">
            <v>5</v>
          </cell>
          <cell r="K426">
            <v>2.699487E-3</v>
          </cell>
        </row>
        <row r="427">
          <cell r="F427" t="str">
            <v>Contra Costa County Public Works</v>
          </cell>
          <cell r="J427">
            <v>5</v>
          </cell>
          <cell r="K427">
            <v>3.4165599999999999E-3</v>
          </cell>
        </row>
        <row r="428">
          <cell r="F428" t="str">
            <v>Contra Costa County Public Works</v>
          </cell>
          <cell r="J428">
            <v>5</v>
          </cell>
          <cell r="K428">
            <v>4.1339410000000004E-3</v>
          </cell>
        </row>
        <row r="429">
          <cell r="F429" t="str">
            <v>Contra Costa County Public Works</v>
          </cell>
          <cell r="J429">
            <v>5</v>
          </cell>
          <cell r="K429">
            <v>1.287056E-3</v>
          </cell>
        </row>
        <row r="430">
          <cell r="F430" t="str">
            <v>Contra Costa County Public Works</v>
          </cell>
          <cell r="J430">
            <v>5</v>
          </cell>
          <cell r="K430">
            <v>8.5626350000000007E-3</v>
          </cell>
        </row>
        <row r="431">
          <cell r="F431" t="str">
            <v>Contra Costa County Public Works</v>
          </cell>
          <cell r="J431">
            <v>5</v>
          </cell>
          <cell r="K431">
            <v>3.5641330000000001E-3</v>
          </cell>
        </row>
        <row r="432">
          <cell r="F432" t="str">
            <v>Contra Costa County Public Works</v>
          </cell>
          <cell r="J432">
            <v>5</v>
          </cell>
          <cell r="K432">
            <v>1.537364E-3</v>
          </cell>
        </row>
        <row r="433">
          <cell r="F433" t="str">
            <v>Contra Costa County Public Works</v>
          </cell>
          <cell r="J433">
            <v>5</v>
          </cell>
          <cell r="K433">
            <v>5.3761179999999996E-4</v>
          </cell>
        </row>
        <row r="434">
          <cell r="F434" t="str">
            <v>Contra Costa County Public Works</v>
          </cell>
          <cell r="J434">
            <v>5</v>
          </cell>
          <cell r="K434">
            <v>3.558713E-4</v>
          </cell>
        </row>
        <row r="435">
          <cell r="F435" t="str">
            <v>Contra Costa County Public Works</v>
          </cell>
          <cell r="J435">
            <v>5</v>
          </cell>
          <cell r="K435">
            <v>1.1446599999999999E-2</v>
          </cell>
        </row>
        <row r="436">
          <cell r="F436" t="str">
            <v>Contra Costa County Public Works</v>
          </cell>
          <cell r="J436">
            <v>5</v>
          </cell>
          <cell r="K436">
            <v>2.905568E-2</v>
          </cell>
        </row>
        <row r="437">
          <cell r="F437" t="str">
            <v>Contra Costa County Public Works</v>
          </cell>
          <cell r="J437">
            <v>5</v>
          </cell>
          <cell r="K437">
            <v>1.9896110000000001E-3</v>
          </cell>
        </row>
        <row r="438">
          <cell r="F438" t="str">
            <v>Contra Costa County Public Works</v>
          </cell>
          <cell r="J438">
            <v>5</v>
          </cell>
          <cell r="K438">
            <v>1.9484490000000001E-3</v>
          </cell>
        </row>
        <row r="439">
          <cell r="F439" t="str">
            <v>Contra Costa County Public Works</v>
          </cell>
          <cell r="J439">
            <v>5</v>
          </cell>
          <cell r="K439">
            <v>1.9423229999999999E-3</v>
          </cell>
        </row>
        <row r="440">
          <cell r="F440" t="str">
            <v>Contra Costa County Public Works</v>
          </cell>
          <cell r="J440">
            <v>5</v>
          </cell>
          <cell r="K440">
            <v>2.8610889999999998E-3</v>
          </cell>
        </row>
        <row r="441">
          <cell r="F441" t="str">
            <v>Contra Costa County Public Works</v>
          </cell>
          <cell r="J441">
            <v>5</v>
          </cell>
          <cell r="K441">
            <v>3.284267E-3</v>
          </cell>
        </row>
        <row r="442">
          <cell r="F442" t="str">
            <v>Contra Costa County Public Works</v>
          </cell>
          <cell r="J442">
            <v>5</v>
          </cell>
          <cell r="K442">
            <v>3.2842079999999998E-3</v>
          </cell>
        </row>
        <row r="443">
          <cell r="F443" t="str">
            <v>Contra Costa County Public Works</v>
          </cell>
          <cell r="J443">
            <v>5</v>
          </cell>
          <cell r="K443">
            <v>4.6411129999999997E-3</v>
          </cell>
        </row>
        <row r="444">
          <cell r="F444" t="str">
            <v>Contra Costa County Public Works</v>
          </cell>
          <cell r="J444">
            <v>5</v>
          </cell>
          <cell r="K444">
            <v>8.6727560000000002E-3</v>
          </cell>
        </row>
        <row r="445">
          <cell r="F445" t="str">
            <v>Contra Costa County Public Works</v>
          </cell>
          <cell r="J445">
            <v>5</v>
          </cell>
          <cell r="K445">
            <v>1.6266360000000001E-3</v>
          </cell>
        </row>
        <row r="446">
          <cell r="F446" t="str">
            <v>Contra Costa County Public Works</v>
          </cell>
          <cell r="J446">
            <v>5</v>
          </cell>
          <cell r="K446">
            <v>2.4742639999999999E-3</v>
          </cell>
        </row>
        <row r="447">
          <cell r="F447" t="str">
            <v>Contra Costa County Public Works</v>
          </cell>
          <cell r="J447">
            <v>5</v>
          </cell>
          <cell r="K447">
            <v>2.460028E-3</v>
          </cell>
        </row>
        <row r="448">
          <cell r="F448" t="str">
            <v>Contra Costa County Public Works</v>
          </cell>
          <cell r="J448">
            <v>5</v>
          </cell>
          <cell r="K448">
            <v>3.109924E-3</v>
          </cell>
        </row>
        <row r="449">
          <cell r="F449" t="str">
            <v>Contra Costa County Public Works</v>
          </cell>
          <cell r="J449">
            <v>5</v>
          </cell>
          <cell r="K449">
            <v>6.2065660000000002E-3</v>
          </cell>
        </row>
        <row r="450">
          <cell r="F450" t="str">
            <v>Contra Costa County Public Works</v>
          </cell>
          <cell r="J450">
            <v>5</v>
          </cell>
          <cell r="K450">
            <v>5.0485369999999996E-3</v>
          </cell>
        </row>
        <row r="451">
          <cell r="F451" t="str">
            <v>East Bay Regional Park District</v>
          </cell>
          <cell r="J451">
            <v>5</v>
          </cell>
          <cell r="K451">
            <v>1.6659879999999998E-2</v>
          </cell>
        </row>
        <row r="452">
          <cell r="F452" t="str">
            <v>East Bay Regional Park District</v>
          </cell>
          <cell r="J452">
            <v>5</v>
          </cell>
          <cell r="K452">
            <v>6.2052369999999997E-3</v>
          </cell>
        </row>
        <row r="453">
          <cell r="F453" t="str">
            <v>East Bay Regional Park District</v>
          </cell>
          <cell r="J453">
            <v>5</v>
          </cell>
          <cell r="K453">
            <v>6.3083530000000001E-3</v>
          </cell>
        </row>
        <row r="454">
          <cell r="F454" t="str">
            <v>East Bay Regional Park District</v>
          </cell>
          <cell r="J454">
            <v>5</v>
          </cell>
          <cell r="K454">
            <v>2.209537E-2</v>
          </cell>
        </row>
        <row r="455">
          <cell r="F455" t="str">
            <v>East Bay Regional Park District</v>
          </cell>
          <cell r="J455">
            <v>5</v>
          </cell>
          <cell r="K455">
            <v>3.3178859999999999E-3</v>
          </cell>
        </row>
        <row r="456">
          <cell r="F456" t="str">
            <v>East Bay Regional Park District</v>
          </cell>
          <cell r="J456">
            <v>5</v>
          </cell>
          <cell r="K456">
            <v>1.265836E-3</v>
          </cell>
        </row>
        <row r="457">
          <cell r="F457" t="str">
            <v>East Bay Regional Park District</v>
          </cell>
          <cell r="J457">
            <v>5</v>
          </cell>
          <cell r="K457">
            <v>0.11158709999999999</v>
          </cell>
        </row>
        <row r="458">
          <cell r="F458" t="str">
            <v>East Bay Regional Park District</v>
          </cell>
          <cell r="J458">
            <v>5</v>
          </cell>
          <cell r="K458">
            <v>9.0401519999999999E-2</v>
          </cell>
        </row>
        <row r="459">
          <cell r="F459" t="str">
            <v>East Bay Regional Park District</v>
          </cell>
          <cell r="J459">
            <v>5</v>
          </cell>
          <cell r="K459">
            <v>3.221645E-3</v>
          </cell>
        </row>
        <row r="460">
          <cell r="F460" t="str">
            <v>East Bay Regional Park District</v>
          </cell>
          <cell r="J460">
            <v>5</v>
          </cell>
          <cell r="K460">
            <v>3.16373E-3</v>
          </cell>
        </row>
        <row r="461">
          <cell r="F461" t="str">
            <v>East Bay Regional Park District</v>
          </cell>
          <cell r="J461">
            <v>5</v>
          </cell>
          <cell r="K461">
            <v>1.553174E-3</v>
          </cell>
        </row>
        <row r="462">
          <cell r="F462" t="str">
            <v>East Bay Regional Park District</v>
          </cell>
          <cell r="J462">
            <v>5</v>
          </cell>
          <cell r="K462">
            <v>1.725634E-3</v>
          </cell>
        </row>
        <row r="463">
          <cell r="F463" t="str">
            <v>East Bay Regional Park District</v>
          </cell>
          <cell r="J463">
            <v>5</v>
          </cell>
          <cell r="K463">
            <v>1.7474910000000001E-3</v>
          </cell>
        </row>
        <row r="464">
          <cell r="F464" t="str">
            <v>East Bay Regional Park District</v>
          </cell>
          <cell r="J464">
            <v>5</v>
          </cell>
          <cell r="K464">
            <v>2.0559570000000002E-3</v>
          </cell>
        </row>
        <row r="465">
          <cell r="F465" t="str">
            <v>East Bay Regional Park District</v>
          </cell>
          <cell r="J465">
            <v>5</v>
          </cell>
          <cell r="K465">
            <v>1.9425930000000001E-3</v>
          </cell>
        </row>
        <row r="466">
          <cell r="F466" t="str">
            <v>East Bay Regional Park District</v>
          </cell>
          <cell r="J466">
            <v>5</v>
          </cell>
          <cell r="K466">
            <v>5.056924E-3</v>
          </cell>
        </row>
        <row r="467">
          <cell r="F467" t="str">
            <v>East Bay Regional Park District</v>
          </cell>
          <cell r="J467">
            <v>5</v>
          </cell>
          <cell r="K467">
            <v>5.1691299999999998E-5</v>
          </cell>
        </row>
        <row r="468">
          <cell r="F468" t="str">
            <v>East Bay Regional Park District</v>
          </cell>
          <cell r="J468">
            <v>5</v>
          </cell>
          <cell r="K468">
            <v>1.3905689999999999E-3</v>
          </cell>
        </row>
        <row r="469">
          <cell r="F469" t="str">
            <v>East Bay Regional Park District</v>
          </cell>
          <cell r="J469">
            <v>5</v>
          </cell>
          <cell r="K469">
            <v>1.6238210000000001E-4</v>
          </cell>
        </row>
        <row r="470">
          <cell r="F470" t="str">
            <v>East Bay Regional Park District</v>
          </cell>
          <cell r="J470">
            <v>5</v>
          </cell>
          <cell r="K470">
            <v>6.5154039999999998E-3</v>
          </cell>
        </row>
        <row r="471">
          <cell r="F471" t="str">
            <v>East Bay Regional Park District</v>
          </cell>
          <cell r="J471">
            <v>5</v>
          </cell>
          <cell r="K471">
            <v>2.7433990000000001E-3</v>
          </cell>
        </row>
        <row r="472">
          <cell r="F472" t="str">
            <v>East Bay Regional Park District</v>
          </cell>
          <cell r="J472">
            <v>5</v>
          </cell>
          <cell r="K472">
            <v>5.4886020000000004E-4</v>
          </cell>
        </row>
        <row r="473">
          <cell r="F473" t="str">
            <v>East Bay Regional Park District</v>
          </cell>
          <cell r="J473">
            <v>5</v>
          </cell>
          <cell r="K473">
            <v>2.8082129999999999E-3</v>
          </cell>
        </row>
        <row r="474">
          <cell r="F474" t="str">
            <v>East Bay Regional Park District</v>
          </cell>
          <cell r="J474">
            <v>5</v>
          </cell>
          <cell r="K474">
            <v>3.1302740000000002E-3</v>
          </cell>
        </row>
        <row r="475">
          <cell r="F475" t="str">
            <v>East Bay Regional Park District</v>
          </cell>
          <cell r="J475">
            <v>5</v>
          </cell>
          <cell r="K475">
            <v>2.8680770000000001E-3</v>
          </cell>
        </row>
        <row r="476">
          <cell r="F476" t="str">
            <v>East Bay Regional Park District</v>
          </cell>
          <cell r="J476">
            <v>5</v>
          </cell>
          <cell r="K476">
            <v>3.1302249999999999E-3</v>
          </cell>
        </row>
        <row r="477">
          <cell r="F477" t="str">
            <v>East Bay Regional Park District</v>
          </cell>
          <cell r="J477">
            <v>5</v>
          </cell>
          <cell r="K477">
            <v>2.8611489999999999E-3</v>
          </cell>
        </row>
        <row r="478">
          <cell r="F478" t="str">
            <v>East Bay Regional Park District</v>
          </cell>
          <cell r="J478">
            <v>5</v>
          </cell>
          <cell r="K478">
            <v>2.1948100000000002E-3</v>
          </cell>
        </row>
        <row r="479">
          <cell r="F479" t="str">
            <v>East Bay Regional Park District</v>
          </cell>
          <cell r="J479">
            <v>5</v>
          </cell>
          <cell r="K479">
            <v>1.0088600000000001E-3</v>
          </cell>
        </row>
        <row r="480">
          <cell r="F480" t="str">
            <v>East Bay Regional Park District</v>
          </cell>
          <cell r="J480">
            <v>5</v>
          </cell>
          <cell r="K480">
            <v>2.8141310000000001E-3</v>
          </cell>
        </row>
        <row r="481">
          <cell r="F481" t="str">
            <v>East Bay Regional Park District</v>
          </cell>
          <cell r="J481">
            <v>5</v>
          </cell>
          <cell r="K481">
            <v>1.1218199999999999E-2</v>
          </cell>
        </row>
        <row r="482">
          <cell r="F482" t="str">
            <v>East Bay Regional Park District</v>
          </cell>
          <cell r="J482">
            <v>5</v>
          </cell>
          <cell r="K482">
            <v>2.7917910000000001E-3</v>
          </cell>
        </row>
        <row r="483">
          <cell r="F483" t="str">
            <v>East Bay Regional Park District</v>
          </cell>
          <cell r="J483">
            <v>5</v>
          </cell>
          <cell r="K483">
            <v>1.406891E-3</v>
          </cell>
        </row>
        <row r="484">
          <cell r="F484" t="str">
            <v>East Bay Regional Park District</v>
          </cell>
          <cell r="J484">
            <v>5</v>
          </cell>
          <cell r="K484">
            <v>2.5726540000000002E-3</v>
          </cell>
        </row>
        <row r="485">
          <cell r="F485" t="str">
            <v>East Bay Regional Park District</v>
          </cell>
          <cell r="J485">
            <v>5</v>
          </cell>
          <cell r="K485">
            <v>2.5621010000000002E-4</v>
          </cell>
        </row>
        <row r="486">
          <cell r="F486" t="str">
            <v>East Bay Regional Park District</v>
          </cell>
          <cell r="J486">
            <v>5</v>
          </cell>
          <cell r="K486">
            <v>1.7491530000000001E-4</v>
          </cell>
        </row>
        <row r="487">
          <cell r="F487" t="str">
            <v>East Bay Regional Park District</v>
          </cell>
          <cell r="J487">
            <v>5</v>
          </cell>
          <cell r="K487">
            <v>5.1587059999999999E-3</v>
          </cell>
        </row>
        <row r="488">
          <cell r="F488" t="str">
            <v>East Bay Regional Park District</v>
          </cell>
          <cell r="J488">
            <v>5</v>
          </cell>
          <cell r="K488">
            <v>1.1864919999999999E-2</v>
          </cell>
        </row>
        <row r="489">
          <cell r="F489" t="str">
            <v>East Bay Regional Park District</v>
          </cell>
          <cell r="J489">
            <v>5</v>
          </cell>
          <cell r="K489">
            <v>1.455519E-3</v>
          </cell>
        </row>
        <row r="490">
          <cell r="F490" t="str">
            <v>East Bay Regional Park District</v>
          </cell>
          <cell r="J490">
            <v>5</v>
          </cell>
          <cell r="K490">
            <v>1.3157690000000001E-3</v>
          </cell>
        </row>
        <row r="491">
          <cell r="F491" t="str">
            <v>East Bay Regional Park District</v>
          </cell>
          <cell r="J491">
            <v>5</v>
          </cell>
          <cell r="K491">
            <v>4.4859009999999996E-3</v>
          </cell>
        </row>
        <row r="492">
          <cell r="F492" t="str">
            <v>East Bay Regional Park District</v>
          </cell>
          <cell r="J492">
            <v>5</v>
          </cell>
          <cell r="K492">
            <v>4.9571399999999996E-3</v>
          </cell>
        </row>
        <row r="493">
          <cell r="F493" t="str">
            <v>East Bay Regional Park District</v>
          </cell>
          <cell r="J493">
            <v>5</v>
          </cell>
          <cell r="K493">
            <v>4.0230580000000002E-2</v>
          </cell>
        </row>
        <row r="494">
          <cell r="F494" t="str">
            <v>Martinez Public Works Department</v>
          </cell>
          <cell r="J494">
            <v>5</v>
          </cell>
          <cell r="K494">
            <v>2.6534599999999998E-2</v>
          </cell>
        </row>
        <row r="495">
          <cell r="F495" t="str">
            <v>Pinole Public Works Department</v>
          </cell>
          <cell r="J495">
            <v>5</v>
          </cell>
          <cell r="K495">
            <v>2.3396480000000002E-3</v>
          </cell>
        </row>
        <row r="496">
          <cell r="F496" t="str">
            <v>Pinole Public Works Department</v>
          </cell>
          <cell r="J496">
            <v>5</v>
          </cell>
          <cell r="K496">
            <v>4.1204299999999996E-3</v>
          </cell>
        </row>
        <row r="497">
          <cell r="F497" t="str">
            <v>Pinole Public Works Department</v>
          </cell>
          <cell r="J497">
            <v>5</v>
          </cell>
          <cell r="K497">
            <v>2.646567E-2</v>
          </cell>
        </row>
        <row r="498">
          <cell r="F498" t="str">
            <v>Pinole Public Works Department</v>
          </cell>
          <cell r="J498">
            <v>5</v>
          </cell>
          <cell r="K498">
            <v>1.721926E-2</v>
          </cell>
        </row>
        <row r="499">
          <cell r="F499" t="str">
            <v>Pinole Public Works Department</v>
          </cell>
          <cell r="J499">
            <v>5</v>
          </cell>
          <cell r="K499">
            <v>3.5334149999999998E-3</v>
          </cell>
        </row>
        <row r="500">
          <cell r="F500" t="str">
            <v>Pinole Public Works Department</v>
          </cell>
          <cell r="J500">
            <v>5</v>
          </cell>
          <cell r="K500">
            <v>1.9650359999999999E-3</v>
          </cell>
        </row>
        <row r="501">
          <cell r="F501" t="str">
            <v>Pinole Public Works Department</v>
          </cell>
          <cell r="J501">
            <v>5</v>
          </cell>
          <cell r="K501">
            <v>7.6755670000000003E-3</v>
          </cell>
        </row>
        <row r="502">
          <cell r="F502" t="str">
            <v>Pinole Public Works Department</v>
          </cell>
          <cell r="J502">
            <v>5</v>
          </cell>
          <cell r="K502">
            <v>1.643018E-3</v>
          </cell>
        </row>
        <row r="503">
          <cell r="F503" t="str">
            <v>Pinole Public Works Department</v>
          </cell>
          <cell r="J503">
            <v>5</v>
          </cell>
          <cell r="K503">
            <v>6.2183989999999999E-4</v>
          </cell>
        </row>
        <row r="504">
          <cell r="F504" t="str">
            <v>Pinole Public Works Department</v>
          </cell>
          <cell r="J504">
            <v>5</v>
          </cell>
          <cell r="K504">
            <v>3.961481E-5</v>
          </cell>
        </row>
        <row r="505">
          <cell r="F505" t="str">
            <v>Pinole Public Works Department</v>
          </cell>
          <cell r="J505">
            <v>5</v>
          </cell>
          <cell r="K505">
            <v>2.3093190000000001E-4</v>
          </cell>
        </row>
        <row r="506">
          <cell r="F506" t="str">
            <v>Pinole Public Works Department</v>
          </cell>
          <cell r="J506">
            <v>5</v>
          </cell>
          <cell r="K506">
            <v>3.2808590000000001E-3</v>
          </cell>
        </row>
        <row r="507">
          <cell r="F507" t="str">
            <v>Pinole Public Works Department</v>
          </cell>
          <cell r="J507">
            <v>5</v>
          </cell>
          <cell r="K507">
            <v>1.05258E-3</v>
          </cell>
        </row>
        <row r="508">
          <cell r="F508" t="str">
            <v>Pinole Public Works Department</v>
          </cell>
          <cell r="J508">
            <v>5</v>
          </cell>
          <cell r="K508">
            <v>1.1907849999999999E-2</v>
          </cell>
        </row>
        <row r="509">
          <cell r="F509" t="str">
            <v>Pinole Public Works Department</v>
          </cell>
          <cell r="J509">
            <v>5</v>
          </cell>
          <cell r="K509">
            <v>1.061487E-2</v>
          </cell>
        </row>
        <row r="510">
          <cell r="F510" t="str">
            <v>Pinole Public Works Department</v>
          </cell>
          <cell r="J510">
            <v>5</v>
          </cell>
          <cell r="K510">
            <v>1.1948860000000001E-4</v>
          </cell>
        </row>
        <row r="511">
          <cell r="F511" t="str">
            <v>Pinole Public Works Department</v>
          </cell>
          <cell r="J511">
            <v>5</v>
          </cell>
          <cell r="K511">
            <v>4.852044E-5</v>
          </cell>
        </row>
        <row r="512">
          <cell r="F512" t="str">
            <v>Pinole Public Works Department</v>
          </cell>
          <cell r="J512">
            <v>5</v>
          </cell>
          <cell r="K512">
            <v>2.5560919999999998E-3</v>
          </cell>
        </row>
        <row r="513">
          <cell r="F513" t="str">
            <v>Port of Richmond</v>
          </cell>
          <cell r="J513">
            <v>5</v>
          </cell>
          <cell r="K513">
            <v>7.7504929999999998E-3</v>
          </cell>
        </row>
        <row r="514">
          <cell r="F514" t="str">
            <v>Port of Richmond</v>
          </cell>
          <cell r="J514">
            <v>5</v>
          </cell>
          <cell r="K514">
            <v>5.053147E-3</v>
          </cell>
        </row>
        <row r="515">
          <cell r="F515" t="str">
            <v>Port of Richmond</v>
          </cell>
          <cell r="J515">
            <v>5</v>
          </cell>
          <cell r="K515">
            <v>2.450907E-3</v>
          </cell>
        </row>
        <row r="516">
          <cell r="F516" t="str">
            <v>Port of Richmond</v>
          </cell>
          <cell r="J516">
            <v>5</v>
          </cell>
          <cell r="K516">
            <v>2.1208970000000001E-3</v>
          </cell>
        </row>
        <row r="517">
          <cell r="F517" t="str">
            <v>Port of Richmond</v>
          </cell>
          <cell r="J517">
            <v>5</v>
          </cell>
          <cell r="K517">
            <v>2.788965E-3</v>
          </cell>
        </row>
        <row r="518">
          <cell r="F518" t="str">
            <v>Port of Richmond</v>
          </cell>
          <cell r="J518">
            <v>5</v>
          </cell>
          <cell r="K518">
            <v>3.2488679999999998E-3</v>
          </cell>
        </row>
        <row r="519">
          <cell r="F519" t="str">
            <v>Port of Richmond</v>
          </cell>
          <cell r="J519">
            <v>5</v>
          </cell>
          <cell r="K519">
            <v>1.6797139999999999E-3</v>
          </cell>
        </row>
        <row r="520">
          <cell r="F520" t="str">
            <v>Port of Richmond</v>
          </cell>
          <cell r="J520">
            <v>5</v>
          </cell>
          <cell r="K520">
            <v>9.9706810000000008E-4</v>
          </cell>
        </row>
        <row r="521">
          <cell r="F521" t="str">
            <v>Richmond Public Works Dept</v>
          </cell>
          <cell r="J521">
            <v>5</v>
          </cell>
          <cell r="K521">
            <v>0.28054319999999999</v>
          </cell>
        </row>
        <row r="522">
          <cell r="F522" t="str">
            <v>Richmond Public Works Dept</v>
          </cell>
          <cell r="J522">
            <v>5</v>
          </cell>
          <cell r="K522">
            <v>3.2823930000000002E-3</v>
          </cell>
        </row>
        <row r="523">
          <cell r="F523" t="str">
            <v>Richmond Public Works Dept</v>
          </cell>
          <cell r="J523">
            <v>5</v>
          </cell>
          <cell r="K523">
            <v>3.2797159999999998E-3</v>
          </cell>
        </row>
        <row r="524">
          <cell r="F524" t="str">
            <v>Richmond Public Works Dept</v>
          </cell>
          <cell r="J524">
            <v>5</v>
          </cell>
          <cell r="K524">
            <v>2.539351E-3</v>
          </cell>
        </row>
        <row r="525">
          <cell r="F525" t="str">
            <v>Richmond Public Works Dept</v>
          </cell>
          <cell r="J525">
            <v>5</v>
          </cell>
          <cell r="K525">
            <v>2.595979E-3</v>
          </cell>
        </row>
        <row r="526">
          <cell r="F526" t="str">
            <v>Richmond Public Works Dept</v>
          </cell>
          <cell r="J526">
            <v>5</v>
          </cell>
          <cell r="K526">
            <v>2.7273530000000001E-3</v>
          </cell>
        </row>
        <row r="527">
          <cell r="F527" t="str">
            <v>Richmond Public Works Dept</v>
          </cell>
          <cell r="J527">
            <v>5</v>
          </cell>
          <cell r="K527">
            <v>2.0593690000000001E-3</v>
          </cell>
        </row>
        <row r="528">
          <cell r="F528" t="str">
            <v>Richmond Public Works Dept</v>
          </cell>
          <cell r="J528">
            <v>5</v>
          </cell>
          <cell r="K528">
            <v>2.6011760000000002E-4</v>
          </cell>
        </row>
        <row r="529">
          <cell r="F529" t="str">
            <v>Richmond Public Works Dept</v>
          </cell>
          <cell r="J529">
            <v>5</v>
          </cell>
          <cell r="K529">
            <v>1.283717E-3</v>
          </cell>
        </row>
        <row r="530">
          <cell r="F530" t="str">
            <v>Richmond Public Works Dept</v>
          </cell>
          <cell r="J530">
            <v>5</v>
          </cell>
          <cell r="K530">
            <v>8.3433589999999998E-3</v>
          </cell>
        </row>
        <row r="531">
          <cell r="F531" t="str">
            <v>Richmond Public Works Dept</v>
          </cell>
          <cell r="J531">
            <v>5</v>
          </cell>
          <cell r="K531">
            <v>6.2537490000000003E-3</v>
          </cell>
        </row>
        <row r="532">
          <cell r="F532" t="str">
            <v>Richmond Public Works Dept</v>
          </cell>
          <cell r="J532">
            <v>5</v>
          </cell>
          <cell r="K532">
            <v>1.967257E-3</v>
          </cell>
        </row>
        <row r="533">
          <cell r="F533" t="str">
            <v>Richmond Public Works Dept</v>
          </cell>
          <cell r="J533">
            <v>5</v>
          </cell>
          <cell r="K533">
            <v>3.351321E-3</v>
          </cell>
        </row>
        <row r="534">
          <cell r="F534" t="str">
            <v>Richmond Public Works Dept</v>
          </cell>
          <cell r="J534">
            <v>5</v>
          </cell>
          <cell r="K534">
            <v>2.458015E-3</v>
          </cell>
        </row>
        <row r="535">
          <cell r="F535" t="str">
            <v>Richmond Public Works Dept</v>
          </cell>
          <cell r="J535">
            <v>5</v>
          </cell>
          <cell r="K535">
            <v>3.1254569999999999E-3</v>
          </cell>
        </row>
        <row r="536">
          <cell r="F536" t="str">
            <v>Richmond Public Works Dept</v>
          </cell>
          <cell r="J536">
            <v>5</v>
          </cell>
          <cell r="K536">
            <v>8.7208160000000002E-4</v>
          </cell>
        </row>
        <row r="537">
          <cell r="F537" t="str">
            <v>Richmond Public Works Dept</v>
          </cell>
          <cell r="J537">
            <v>5</v>
          </cell>
          <cell r="K537">
            <v>2.0025709999999999E-3</v>
          </cell>
        </row>
        <row r="538">
          <cell r="F538" t="str">
            <v>Richmond Public Works Dept</v>
          </cell>
          <cell r="J538">
            <v>5</v>
          </cell>
          <cell r="K538">
            <v>3.1330609999999999E-3</v>
          </cell>
        </row>
        <row r="539">
          <cell r="F539" t="str">
            <v>Richmond Public Works Dept</v>
          </cell>
          <cell r="J539">
            <v>5</v>
          </cell>
          <cell r="K539">
            <v>2.0102610000000002E-3</v>
          </cell>
        </row>
        <row r="540">
          <cell r="F540" t="str">
            <v>Richmond Public Works Dept</v>
          </cell>
          <cell r="J540">
            <v>5</v>
          </cell>
          <cell r="K540">
            <v>8.8733099999999999E-4</v>
          </cell>
        </row>
        <row r="541">
          <cell r="F541" t="str">
            <v>Richmond Public Works Dept</v>
          </cell>
          <cell r="J541">
            <v>5</v>
          </cell>
          <cell r="K541">
            <v>1.9993910000000001E-3</v>
          </cell>
        </row>
        <row r="542">
          <cell r="F542" t="str">
            <v>Richmond Public Works Dept</v>
          </cell>
          <cell r="J542">
            <v>5</v>
          </cell>
          <cell r="K542">
            <v>6.4849390000000003E-3</v>
          </cell>
        </row>
        <row r="543">
          <cell r="F543" t="str">
            <v>Richmond Public Works Dept</v>
          </cell>
          <cell r="J543">
            <v>5</v>
          </cell>
          <cell r="K543">
            <v>4.4935649999999997E-3</v>
          </cell>
        </row>
        <row r="544">
          <cell r="F544" t="str">
            <v>Richmond Public Works Dept</v>
          </cell>
          <cell r="J544">
            <v>5</v>
          </cell>
          <cell r="K544">
            <v>3.1381310000000002E-3</v>
          </cell>
        </row>
        <row r="545">
          <cell r="F545" t="str">
            <v>Richmond Public Works Dept</v>
          </cell>
          <cell r="J545">
            <v>5</v>
          </cell>
          <cell r="K545">
            <v>2.8239099999999998E-3</v>
          </cell>
        </row>
        <row r="546">
          <cell r="F546" t="str">
            <v>Richmond Public Works Dept</v>
          </cell>
          <cell r="J546">
            <v>5</v>
          </cell>
          <cell r="K546">
            <v>4.9158860000000004E-3</v>
          </cell>
        </row>
        <row r="547">
          <cell r="F547" t="str">
            <v>Richmond Public Works Dept</v>
          </cell>
          <cell r="J547">
            <v>5</v>
          </cell>
          <cell r="K547">
            <v>4.9158240000000001E-3</v>
          </cell>
        </row>
        <row r="548">
          <cell r="F548" t="str">
            <v>Richmond Public Works Dept</v>
          </cell>
          <cell r="J548">
            <v>5</v>
          </cell>
          <cell r="K548">
            <v>9.8317100000000004E-3</v>
          </cell>
        </row>
        <row r="549">
          <cell r="F549" t="str">
            <v>Richmond Public Works Dept</v>
          </cell>
          <cell r="J549">
            <v>5</v>
          </cell>
          <cell r="K549">
            <v>2.457912E-3</v>
          </cell>
        </row>
        <row r="550">
          <cell r="F550" t="str">
            <v>Richmond Public Works Dept</v>
          </cell>
          <cell r="J550">
            <v>5</v>
          </cell>
          <cell r="K550">
            <v>4.9158240000000001E-3</v>
          </cell>
        </row>
        <row r="551">
          <cell r="F551" t="str">
            <v>Richmond Public Works Dept</v>
          </cell>
          <cell r="J551">
            <v>5</v>
          </cell>
          <cell r="K551">
            <v>3.3205209999999999E-2</v>
          </cell>
        </row>
        <row r="552">
          <cell r="F552" t="str">
            <v>Richmond Public Works Dept</v>
          </cell>
          <cell r="J552">
            <v>5</v>
          </cell>
          <cell r="K552">
            <v>3.4298870000000002E-2</v>
          </cell>
        </row>
        <row r="553">
          <cell r="F553" t="str">
            <v>Richmond Public Works Dept</v>
          </cell>
          <cell r="J553">
            <v>5</v>
          </cell>
          <cell r="K553">
            <v>5.634359E-5</v>
          </cell>
        </row>
        <row r="554">
          <cell r="F554" t="str">
            <v>Richmond Public Works Dept</v>
          </cell>
          <cell r="J554">
            <v>5</v>
          </cell>
          <cell r="K554">
            <v>3.3452530000000001E-2</v>
          </cell>
        </row>
        <row r="555">
          <cell r="F555" t="str">
            <v>Richmond Public Works Dept</v>
          </cell>
          <cell r="J555">
            <v>5</v>
          </cell>
          <cell r="K555">
            <v>8.1354940000000001E-2</v>
          </cell>
        </row>
        <row r="556">
          <cell r="F556" t="str">
            <v>Richmond Public Works Dept</v>
          </cell>
          <cell r="J556">
            <v>5</v>
          </cell>
          <cell r="K556">
            <v>1.9202230000000001E-2</v>
          </cell>
        </row>
        <row r="557">
          <cell r="F557" t="str">
            <v>Richmond Public Works Dept</v>
          </cell>
          <cell r="J557">
            <v>5</v>
          </cell>
          <cell r="K557">
            <v>8.887573E-4</v>
          </cell>
        </row>
        <row r="558">
          <cell r="F558" t="str">
            <v>Richmond Public Works Dept</v>
          </cell>
          <cell r="J558">
            <v>5</v>
          </cell>
          <cell r="K558">
            <v>5.267049E-4</v>
          </cell>
        </row>
        <row r="559">
          <cell r="F559" t="str">
            <v>Richmond Public Works Dept</v>
          </cell>
          <cell r="J559">
            <v>5</v>
          </cell>
          <cell r="K559">
            <v>1.63028E-3</v>
          </cell>
        </row>
        <row r="560">
          <cell r="F560" t="str">
            <v>Richmond Public Works Dept</v>
          </cell>
          <cell r="J560">
            <v>5</v>
          </cell>
          <cell r="K560">
            <v>1.2594679999999999E-3</v>
          </cell>
        </row>
        <row r="561">
          <cell r="F561" t="str">
            <v>Richmond Public Works Dept</v>
          </cell>
          <cell r="J561">
            <v>5</v>
          </cell>
          <cell r="K561">
            <v>4.0169530000000002E-2</v>
          </cell>
        </row>
        <row r="562">
          <cell r="F562" t="str">
            <v>Richmond Public Works Dept</v>
          </cell>
          <cell r="J562">
            <v>5</v>
          </cell>
          <cell r="K562">
            <v>4.074785E-3</v>
          </cell>
        </row>
        <row r="563">
          <cell r="F563" t="str">
            <v>Richmond Public Works Dept</v>
          </cell>
          <cell r="J563">
            <v>5</v>
          </cell>
          <cell r="K563">
            <v>1.046531E-2</v>
          </cell>
        </row>
        <row r="564">
          <cell r="F564" t="str">
            <v>Richmond Public Works Dept</v>
          </cell>
          <cell r="J564">
            <v>5</v>
          </cell>
          <cell r="K564">
            <v>1.1827719999999999E-3</v>
          </cell>
        </row>
        <row r="565">
          <cell r="F565" t="str">
            <v>Richmond Public Works Dept</v>
          </cell>
          <cell r="J565">
            <v>5</v>
          </cell>
          <cell r="K565">
            <v>6.7018419999999995E-4</v>
          </cell>
        </row>
        <row r="566">
          <cell r="F566" t="str">
            <v>Richmond Public Works Dept</v>
          </cell>
          <cell r="J566">
            <v>5</v>
          </cell>
          <cell r="K566">
            <v>5.1906580000000001E-2</v>
          </cell>
        </row>
        <row r="567">
          <cell r="F567" t="str">
            <v>Richmond Public Works Dept</v>
          </cell>
          <cell r="J567">
            <v>5</v>
          </cell>
          <cell r="K567">
            <v>6.2894919999999998E-3</v>
          </cell>
        </row>
        <row r="568">
          <cell r="F568" t="str">
            <v>Richmond Public Works Dept</v>
          </cell>
          <cell r="J568">
            <v>5</v>
          </cell>
          <cell r="K568">
            <v>9.5950359999999999E-4</v>
          </cell>
        </row>
        <row r="569">
          <cell r="F569" t="str">
            <v>Richmond Public Works Dept</v>
          </cell>
          <cell r="J569">
            <v>5</v>
          </cell>
          <cell r="K569">
            <v>7.303988E-4</v>
          </cell>
        </row>
        <row r="570">
          <cell r="F570" t="str">
            <v>Richmond Public Works Dept</v>
          </cell>
          <cell r="J570">
            <v>5</v>
          </cell>
          <cell r="K570">
            <v>5.0139729999999999E-4</v>
          </cell>
        </row>
        <row r="571">
          <cell r="F571" t="str">
            <v>Richmond Public Works Dept</v>
          </cell>
          <cell r="J571">
            <v>5</v>
          </cell>
          <cell r="K571">
            <v>3.7967279999999999E-2</v>
          </cell>
        </row>
        <row r="572">
          <cell r="F572" t="str">
            <v>Richmond Public Works Dept</v>
          </cell>
          <cell r="J572">
            <v>5</v>
          </cell>
          <cell r="K572">
            <v>2.2289409999999999E-3</v>
          </cell>
        </row>
        <row r="573">
          <cell r="F573" t="str">
            <v>Richmond Public Works Dept</v>
          </cell>
          <cell r="J573">
            <v>5</v>
          </cell>
          <cell r="K573">
            <v>3.0566429999999999E-3</v>
          </cell>
        </row>
        <row r="574">
          <cell r="F574" t="str">
            <v>Richmond Public Works Dept</v>
          </cell>
          <cell r="J574">
            <v>5</v>
          </cell>
          <cell r="K574">
            <v>3.278038E-3</v>
          </cell>
        </row>
        <row r="575">
          <cell r="F575" t="str">
            <v>Richmond Public Works Dept</v>
          </cell>
          <cell r="J575">
            <v>5</v>
          </cell>
          <cell r="K575">
            <v>5.8779339999999996E-3</v>
          </cell>
        </row>
        <row r="576">
          <cell r="F576" t="str">
            <v>Richmond Public Works Dept</v>
          </cell>
          <cell r="J576">
            <v>5</v>
          </cell>
          <cell r="K576">
            <v>2.0829690000000001E-2</v>
          </cell>
        </row>
        <row r="577">
          <cell r="F577" t="str">
            <v>Richmond Public Works Dept</v>
          </cell>
          <cell r="J577">
            <v>5</v>
          </cell>
          <cell r="K577">
            <v>1.474748E-2</v>
          </cell>
        </row>
        <row r="578">
          <cell r="F578" t="str">
            <v>Richmond Public Works Dept</v>
          </cell>
          <cell r="J578">
            <v>5</v>
          </cell>
          <cell r="K578">
            <v>4.669388E-2</v>
          </cell>
        </row>
        <row r="579">
          <cell r="F579" t="str">
            <v>Richmond Public Works Dept</v>
          </cell>
          <cell r="J579">
            <v>5</v>
          </cell>
          <cell r="K579">
            <v>7.3727480000000001E-3</v>
          </cell>
        </row>
        <row r="580">
          <cell r="F580" t="str">
            <v>Richmond Public Works Dept</v>
          </cell>
          <cell r="J580">
            <v>5</v>
          </cell>
          <cell r="K580">
            <v>7.3727480000000001E-3</v>
          </cell>
        </row>
        <row r="581">
          <cell r="F581" t="str">
            <v>Richmond Public Works Dept</v>
          </cell>
          <cell r="J581">
            <v>5</v>
          </cell>
          <cell r="K581">
            <v>2.4580100000000001E-3</v>
          </cell>
        </row>
        <row r="582">
          <cell r="F582" t="str">
            <v>Richmond Public Works Dept</v>
          </cell>
          <cell r="J582">
            <v>5</v>
          </cell>
          <cell r="K582">
            <v>1.720582E-2</v>
          </cell>
        </row>
        <row r="583">
          <cell r="F583" t="str">
            <v>Richmond Public Works Dept</v>
          </cell>
          <cell r="J583">
            <v>5</v>
          </cell>
          <cell r="K583">
            <v>7.1269650000000004E-2</v>
          </cell>
        </row>
        <row r="584">
          <cell r="F584" t="str">
            <v>Richmond Public Works Dept</v>
          </cell>
          <cell r="J584">
            <v>5</v>
          </cell>
          <cell r="K584">
            <v>4.6089110000000003E-2</v>
          </cell>
        </row>
        <row r="585">
          <cell r="F585" t="str">
            <v>Richmond Public Works Dept</v>
          </cell>
          <cell r="J585">
            <v>5</v>
          </cell>
          <cell r="K585">
            <v>5.8981859999999997E-2</v>
          </cell>
        </row>
        <row r="586">
          <cell r="F586" t="str">
            <v>Richmond Public Works Dept</v>
          </cell>
          <cell r="J586">
            <v>5</v>
          </cell>
          <cell r="K586">
            <v>5.8981739999999998E-2</v>
          </cell>
        </row>
        <row r="587">
          <cell r="F587" t="str">
            <v>Richmond Public Works Dept</v>
          </cell>
          <cell r="J587">
            <v>5</v>
          </cell>
          <cell r="K587">
            <v>4.669388E-2</v>
          </cell>
        </row>
        <row r="588">
          <cell r="F588" t="str">
            <v>Richmond Public Works Dept</v>
          </cell>
          <cell r="J588">
            <v>5</v>
          </cell>
          <cell r="K588">
            <v>7.3726859999999998E-3</v>
          </cell>
        </row>
        <row r="589">
          <cell r="F589" t="str">
            <v>Richmond Public Works Dept</v>
          </cell>
          <cell r="J589">
            <v>5</v>
          </cell>
          <cell r="K589">
            <v>2.1835469999999999E-2</v>
          </cell>
        </row>
        <row r="590">
          <cell r="F590" t="str">
            <v>Richmond Public Works Dept</v>
          </cell>
          <cell r="J590">
            <v>5</v>
          </cell>
          <cell r="K590">
            <v>7.3739060000000004E-3</v>
          </cell>
        </row>
        <row r="591">
          <cell r="F591" t="str">
            <v>Richmond Public Works Dept</v>
          </cell>
          <cell r="J591">
            <v>5</v>
          </cell>
          <cell r="K591">
            <v>3.9781010000000004E-3</v>
          </cell>
        </row>
        <row r="592">
          <cell r="F592" t="str">
            <v>Richmond Public Works Dept</v>
          </cell>
          <cell r="J592">
            <v>5</v>
          </cell>
          <cell r="K592">
            <v>3.3731009999999999E-2</v>
          </cell>
        </row>
        <row r="593">
          <cell r="F593" t="str">
            <v>Richmond Public Works Dept</v>
          </cell>
          <cell r="J593">
            <v>5</v>
          </cell>
          <cell r="K593">
            <v>1.02213E-3</v>
          </cell>
        </row>
        <row r="594">
          <cell r="F594" t="str">
            <v>Richmond Public Works Dept</v>
          </cell>
          <cell r="J594">
            <v>5</v>
          </cell>
          <cell r="K594">
            <v>0.35510360000000002</v>
          </cell>
        </row>
        <row r="595">
          <cell r="F595" t="str">
            <v>Richmond Public Works Dept</v>
          </cell>
          <cell r="J595">
            <v>5</v>
          </cell>
          <cell r="K595">
            <v>0.35449999999999998</v>
          </cell>
        </row>
        <row r="596">
          <cell r="F596" t="str">
            <v>Richmond Public Works Dept</v>
          </cell>
          <cell r="J596">
            <v>5</v>
          </cell>
          <cell r="K596">
            <v>1.026105E-3</v>
          </cell>
        </row>
        <row r="597">
          <cell r="F597" t="str">
            <v>Richmond Public Works Dept</v>
          </cell>
          <cell r="J597">
            <v>5</v>
          </cell>
          <cell r="K597">
            <v>3.1139700000000002E-3</v>
          </cell>
        </row>
        <row r="598">
          <cell r="F598" t="str">
            <v>Richmond Public Works Dept</v>
          </cell>
          <cell r="J598">
            <v>5</v>
          </cell>
          <cell r="K598">
            <v>2.275408E-3</v>
          </cell>
        </row>
        <row r="599">
          <cell r="F599" t="str">
            <v>Richmond Public Works Dept</v>
          </cell>
          <cell r="J599">
            <v>5</v>
          </cell>
          <cell r="K599">
            <v>3.6584370000000001E-3</v>
          </cell>
        </row>
        <row r="600">
          <cell r="F600" t="str">
            <v>Richmond Public Works Dept</v>
          </cell>
          <cell r="J600">
            <v>5</v>
          </cell>
          <cell r="K600">
            <v>3.8200690000000002E-3</v>
          </cell>
        </row>
        <row r="601">
          <cell r="F601" t="str">
            <v>Richmond Public Works Dept</v>
          </cell>
          <cell r="J601">
            <v>5</v>
          </cell>
          <cell r="K601">
            <v>3.0392750000000001E-3</v>
          </cell>
        </row>
        <row r="602">
          <cell r="F602" t="str">
            <v>Richmond Public Works Dept</v>
          </cell>
          <cell r="J602">
            <v>5</v>
          </cell>
          <cell r="K602">
            <v>3.7102480000000002E-3</v>
          </cell>
        </row>
        <row r="603">
          <cell r="F603" t="str">
            <v>Richmond Public Works Dept</v>
          </cell>
          <cell r="J603">
            <v>5</v>
          </cell>
          <cell r="K603">
            <v>1.552667E-3</v>
          </cell>
        </row>
        <row r="604">
          <cell r="F604" t="str">
            <v>Richmond Public Works Dept</v>
          </cell>
          <cell r="J604">
            <v>5</v>
          </cell>
          <cell r="K604">
            <v>4.9269669999999995E-4</v>
          </cell>
        </row>
        <row r="605">
          <cell r="F605" t="str">
            <v>Richmond Public Works Dept</v>
          </cell>
          <cell r="J605">
            <v>5</v>
          </cell>
          <cell r="K605">
            <v>4.5260709999999996E-3</v>
          </cell>
        </row>
        <row r="606">
          <cell r="F606" t="str">
            <v>Richmond Public Works Dept</v>
          </cell>
          <cell r="J606">
            <v>5</v>
          </cell>
          <cell r="K606">
            <v>9.5816549999999997E-3</v>
          </cell>
        </row>
        <row r="607">
          <cell r="F607" t="str">
            <v>Richmond Public Works Dept</v>
          </cell>
          <cell r="J607">
            <v>5</v>
          </cell>
          <cell r="K607">
            <v>5.0034149999999998E-3</v>
          </cell>
        </row>
        <row r="608">
          <cell r="F608" t="str">
            <v>Richmond Public Works Dept</v>
          </cell>
          <cell r="J608">
            <v>5</v>
          </cell>
          <cell r="K608">
            <v>1.2347149999999999E-3</v>
          </cell>
        </row>
        <row r="609">
          <cell r="F609" t="str">
            <v>Richmond Public Works Dept</v>
          </cell>
          <cell r="J609">
            <v>5</v>
          </cell>
          <cell r="K609">
            <v>9.4258539999999991E-3</v>
          </cell>
        </row>
        <row r="610">
          <cell r="F610" t="str">
            <v>Richmond Public Works Dept</v>
          </cell>
          <cell r="J610">
            <v>5</v>
          </cell>
          <cell r="K610">
            <v>3.1928070000000003E-2</v>
          </cell>
        </row>
        <row r="611">
          <cell r="F611" t="str">
            <v>Richmond Public Works Dept</v>
          </cell>
          <cell r="J611">
            <v>5</v>
          </cell>
          <cell r="K611">
            <v>2.6489119999999998E-3</v>
          </cell>
        </row>
        <row r="612">
          <cell r="F612" t="str">
            <v>Richmond Public Works Dept</v>
          </cell>
          <cell r="J612">
            <v>5</v>
          </cell>
          <cell r="K612">
            <v>1.555525E-2</v>
          </cell>
        </row>
        <row r="613">
          <cell r="F613" t="str">
            <v>Richmond Public Works Dept</v>
          </cell>
          <cell r="J613">
            <v>5</v>
          </cell>
          <cell r="K613">
            <v>2.1090089999999999E-2</v>
          </cell>
        </row>
        <row r="614">
          <cell r="F614" t="str">
            <v>Richmond Public Works Dept</v>
          </cell>
          <cell r="J614">
            <v>5</v>
          </cell>
          <cell r="K614">
            <v>3.302648E-3</v>
          </cell>
        </row>
        <row r="615">
          <cell r="F615" t="str">
            <v>Richmond Public Works Dept</v>
          </cell>
          <cell r="J615">
            <v>5</v>
          </cell>
          <cell r="K615">
            <v>1.6893730000000001E-3</v>
          </cell>
        </row>
        <row r="616">
          <cell r="F616" t="str">
            <v>Richmond Public Works Dept</v>
          </cell>
          <cell r="J616">
            <v>5</v>
          </cell>
          <cell r="K616">
            <v>8.8294339999999999E-4</v>
          </cell>
        </row>
        <row r="617">
          <cell r="F617" t="str">
            <v>Richmond Public Works Dept</v>
          </cell>
          <cell r="J617">
            <v>5</v>
          </cell>
          <cell r="K617">
            <v>3.582778E-3</v>
          </cell>
        </row>
        <row r="618">
          <cell r="F618" t="str">
            <v>Richmond Public Works Dept</v>
          </cell>
          <cell r="J618">
            <v>5</v>
          </cell>
          <cell r="K618">
            <v>2.3255099999999998E-3</v>
          </cell>
        </row>
        <row r="619">
          <cell r="F619" t="str">
            <v>Richmond Public Works Dept</v>
          </cell>
          <cell r="J619">
            <v>5</v>
          </cell>
          <cell r="K619">
            <v>9.6887579999999996E-4</v>
          </cell>
        </row>
        <row r="620">
          <cell r="F620" t="str">
            <v>Richmond Public Works Dept</v>
          </cell>
          <cell r="J620">
            <v>5</v>
          </cell>
          <cell r="K620">
            <v>3.092669E-2</v>
          </cell>
        </row>
        <row r="621">
          <cell r="F621" t="str">
            <v>Richmond Public Works Dept</v>
          </cell>
          <cell r="J621">
            <v>5</v>
          </cell>
          <cell r="K621">
            <v>3.1895679999999998E-3</v>
          </cell>
        </row>
        <row r="622">
          <cell r="F622" t="str">
            <v>Richmond Public Works Dept</v>
          </cell>
          <cell r="J622">
            <v>5</v>
          </cell>
          <cell r="K622">
            <v>3.5772730000000002E-3</v>
          </cell>
        </row>
        <row r="623">
          <cell r="F623" t="str">
            <v>Richmond Public Works Dept</v>
          </cell>
          <cell r="J623">
            <v>5</v>
          </cell>
          <cell r="K623">
            <v>2.6967139999999998E-3</v>
          </cell>
        </row>
        <row r="624">
          <cell r="F624" t="str">
            <v>Richmond Public Works Dept</v>
          </cell>
          <cell r="J624">
            <v>5</v>
          </cell>
          <cell r="K624">
            <v>1.3400790000000001E-3</v>
          </cell>
        </row>
        <row r="625">
          <cell r="F625" t="str">
            <v>Richmond Public Works Dept</v>
          </cell>
          <cell r="J625">
            <v>5</v>
          </cell>
          <cell r="K625">
            <v>2.203998E-3</v>
          </cell>
        </row>
        <row r="626">
          <cell r="F626" t="str">
            <v>Richmond Public Works Dept</v>
          </cell>
          <cell r="J626">
            <v>5</v>
          </cell>
          <cell r="K626">
            <v>3.124975E-2</v>
          </cell>
        </row>
        <row r="627">
          <cell r="F627" t="str">
            <v>Richmond Public Works Dept</v>
          </cell>
          <cell r="J627">
            <v>5</v>
          </cell>
          <cell r="K627">
            <v>3.4575299999999999E-3</v>
          </cell>
        </row>
        <row r="628">
          <cell r="F628" t="str">
            <v>Richmond Public Works Dept</v>
          </cell>
          <cell r="J628">
            <v>5</v>
          </cell>
          <cell r="K628">
            <v>3.5464840000000002E-4</v>
          </cell>
        </row>
        <row r="629">
          <cell r="F629" t="str">
            <v>Richmond Public Works Dept</v>
          </cell>
          <cell r="J629">
            <v>5</v>
          </cell>
          <cell r="K629">
            <v>3.4449329999999998E-3</v>
          </cell>
        </row>
        <row r="630">
          <cell r="F630" t="str">
            <v>Richmond Public Works Dept</v>
          </cell>
          <cell r="J630">
            <v>5</v>
          </cell>
          <cell r="K630">
            <v>5.9933470000000004E-3</v>
          </cell>
        </row>
        <row r="631">
          <cell r="F631" t="str">
            <v>Richmond Public Works Dept</v>
          </cell>
          <cell r="J631">
            <v>5</v>
          </cell>
          <cell r="K631">
            <v>1.2187369999999999E-3</v>
          </cell>
        </row>
        <row r="632">
          <cell r="F632" t="str">
            <v>Richmond Public Works Dept</v>
          </cell>
          <cell r="J632">
            <v>5</v>
          </cell>
          <cell r="K632">
            <v>6.2397850000000003E-3</v>
          </cell>
        </row>
        <row r="633">
          <cell r="F633" t="str">
            <v>Richmond Public Works Dept</v>
          </cell>
          <cell r="J633">
            <v>5</v>
          </cell>
          <cell r="K633">
            <v>1.2799999999999999E-4</v>
          </cell>
        </row>
        <row r="634">
          <cell r="F634" t="str">
            <v>Richmond Public Works Dept</v>
          </cell>
          <cell r="J634">
            <v>5</v>
          </cell>
          <cell r="K634">
            <v>4.1596410000000004E-3</v>
          </cell>
        </row>
        <row r="635">
          <cell r="F635" t="str">
            <v>Richmond Public Works Dept</v>
          </cell>
          <cell r="J635">
            <v>5</v>
          </cell>
          <cell r="K635">
            <v>1.2516289999999999E-2</v>
          </cell>
        </row>
        <row r="636">
          <cell r="F636" t="str">
            <v>Richmond Public Works Dept</v>
          </cell>
          <cell r="J636">
            <v>5</v>
          </cell>
          <cell r="K636">
            <v>3.249105E-3</v>
          </cell>
        </row>
        <row r="637">
          <cell r="F637" t="str">
            <v>Richmond Public Works Dept</v>
          </cell>
          <cell r="J637">
            <v>5</v>
          </cell>
          <cell r="K637">
            <v>3.9924640000000003E-3</v>
          </cell>
        </row>
        <row r="638">
          <cell r="F638" t="str">
            <v>Richmond Public Works Dept</v>
          </cell>
          <cell r="J638">
            <v>5</v>
          </cell>
          <cell r="K638">
            <v>2.4764380000000001E-3</v>
          </cell>
        </row>
        <row r="639">
          <cell r="F639" t="str">
            <v>Richmond Public Works Dept</v>
          </cell>
          <cell r="J639">
            <v>5</v>
          </cell>
          <cell r="K639">
            <v>5.6432319999999998E-3</v>
          </cell>
        </row>
        <row r="640">
          <cell r="F640" t="str">
            <v>Richmond Public Works Dept</v>
          </cell>
          <cell r="J640">
            <v>5</v>
          </cell>
          <cell r="K640">
            <v>2.152285E-2</v>
          </cell>
        </row>
        <row r="641">
          <cell r="F641" t="str">
            <v>Richmond Public Works Dept</v>
          </cell>
          <cell r="J641">
            <v>5</v>
          </cell>
          <cell r="K641">
            <v>9.3078220000000003E-3</v>
          </cell>
        </row>
        <row r="642">
          <cell r="F642" t="str">
            <v>Richmond Public Works Dept</v>
          </cell>
          <cell r="J642">
            <v>5</v>
          </cell>
          <cell r="K642">
            <v>3.1026280000000001E-3</v>
          </cell>
        </row>
        <row r="643">
          <cell r="F643" t="str">
            <v>Richmond Public Works Dept</v>
          </cell>
          <cell r="J643">
            <v>5</v>
          </cell>
          <cell r="K643">
            <v>9.4726410000000004E-3</v>
          </cell>
        </row>
        <row r="644">
          <cell r="F644" t="str">
            <v>Richmond Public Works Dept</v>
          </cell>
          <cell r="J644">
            <v>5</v>
          </cell>
          <cell r="K644">
            <v>7.3742219999999997E-3</v>
          </cell>
        </row>
        <row r="645">
          <cell r="F645" t="str">
            <v>Richmond Public Works Dept</v>
          </cell>
          <cell r="J645">
            <v>5</v>
          </cell>
          <cell r="K645">
            <v>4.9161689999999997E-3</v>
          </cell>
        </row>
        <row r="646">
          <cell r="F646" t="str">
            <v>Caltrans</v>
          </cell>
          <cell r="J646">
            <v>6</v>
          </cell>
          <cell r="K646">
            <v>4.2302099999999999E-3</v>
          </cell>
        </row>
        <row r="647">
          <cell r="F647" t="str">
            <v>Contra Costa County Public Works</v>
          </cell>
          <cell r="J647">
            <v>6</v>
          </cell>
          <cell r="K647">
            <v>0.1512</v>
          </cell>
        </row>
        <row r="648">
          <cell r="F648" t="str">
            <v>Contra Costa County Public Works</v>
          </cell>
          <cell r="J648">
            <v>6</v>
          </cell>
          <cell r="K648">
            <v>6.2050999999999999E-3</v>
          </cell>
        </row>
        <row r="649">
          <cell r="F649" t="str">
            <v>Contra Costa County Public Works</v>
          </cell>
          <cell r="J649">
            <v>6</v>
          </cell>
          <cell r="K649">
            <v>3.102488E-3</v>
          </cell>
        </row>
        <row r="650">
          <cell r="F650" t="str">
            <v>Contra Costa County Public Works</v>
          </cell>
          <cell r="J650">
            <v>6</v>
          </cell>
          <cell r="K650">
            <v>3.9613249999999999E-3</v>
          </cell>
        </row>
        <row r="651">
          <cell r="F651" t="str">
            <v>Contra Costa County Public Works</v>
          </cell>
          <cell r="J651">
            <v>6</v>
          </cell>
          <cell r="K651">
            <v>1.545357E-3</v>
          </cell>
        </row>
        <row r="652">
          <cell r="F652" t="str">
            <v>Contra Costa County Public Works</v>
          </cell>
          <cell r="J652">
            <v>6</v>
          </cell>
          <cell r="K652">
            <v>2.2044730000000002E-3</v>
          </cell>
        </row>
        <row r="653">
          <cell r="F653" t="str">
            <v>Contra Costa County Public Works</v>
          </cell>
          <cell r="J653">
            <v>6</v>
          </cell>
          <cell r="K653">
            <v>6.1607500000000004E-3</v>
          </cell>
        </row>
        <row r="654">
          <cell r="F654" t="str">
            <v>Contra Costa County Public Works</v>
          </cell>
          <cell r="J654">
            <v>6</v>
          </cell>
          <cell r="K654">
            <v>3.2972180000000002E-3</v>
          </cell>
        </row>
        <row r="655">
          <cell r="F655" t="str">
            <v>Contra Costa County Public Works</v>
          </cell>
          <cell r="J655">
            <v>6</v>
          </cell>
          <cell r="K655">
            <v>3.0720420000000001E-3</v>
          </cell>
        </row>
        <row r="656">
          <cell r="F656" t="str">
            <v>Contra Costa County Public Works</v>
          </cell>
          <cell r="J656">
            <v>6</v>
          </cell>
          <cell r="K656">
            <v>2.0043499999999998E-3</v>
          </cell>
        </row>
        <row r="657">
          <cell r="F657" t="str">
            <v>Contra Costa County Public Works</v>
          </cell>
          <cell r="J657">
            <v>6</v>
          </cell>
          <cell r="K657">
            <v>2.8457199999999998E-2</v>
          </cell>
        </row>
        <row r="658">
          <cell r="F658" t="str">
            <v>Contra Costa County Public Works</v>
          </cell>
          <cell r="J658">
            <v>6</v>
          </cell>
          <cell r="K658">
            <v>1.8822579999999999E-3</v>
          </cell>
        </row>
        <row r="659">
          <cell r="F659" t="str">
            <v>Contra Costa County Public Works</v>
          </cell>
          <cell r="J659">
            <v>6</v>
          </cell>
          <cell r="K659">
            <v>5.6347229999999997E-4</v>
          </cell>
        </row>
        <row r="660">
          <cell r="F660" t="str">
            <v>Contra Costa County Public Works</v>
          </cell>
          <cell r="J660">
            <v>6</v>
          </cell>
          <cell r="K660">
            <v>3.3942260000000002E-3</v>
          </cell>
        </row>
        <row r="661">
          <cell r="F661" t="str">
            <v>Contra Costa County Public Works</v>
          </cell>
          <cell r="J661">
            <v>6</v>
          </cell>
          <cell r="K661">
            <v>2.80526E-3</v>
          </cell>
        </row>
        <row r="662">
          <cell r="F662" t="str">
            <v>Contra Costa County Public Works</v>
          </cell>
          <cell r="J662">
            <v>6</v>
          </cell>
          <cell r="K662">
            <v>8.3898540000000002E-4</v>
          </cell>
        </row>
        <row r="663">
          <cell r="F663" t="str">
            <v>Contra Costa County Public Works</v>
          </cell>
          <cell r="J663">
            <v>6</v>
          </cell>
          <cell r="K663">
            <v>8.6894099999999992E-6</v>
          </cell>
        </row>
        <row r="664">
          <cell r="F664" t="str">
            <v>Contra Costa County Public Works</v>
          </cell>
          <cell r="J664">
            <v>6</v>
          </cell>
          <cell r="K664">
            <v>6.2082259999999998E-3</v>
          </cell>
        </row>
        <row r="665">
          <cell r="F665" t="str">
            <v>Contra Costa County Public Works</v>
          </cell>
          <cell r="J665">
            <v>6</v>
          </cell>
          <cell r="K665">
            <v>3.1121899999999999E-3</v>
          </cell>
        </row>
        <row r="666">
          <cell r="F666" t="str">
            <v>Contra Costa County Public Works</v>
          </cell>
          <cell r="J666">
            <v>6</v>
          </cell>
          <cell r="K666">
            <v>2.4810499999999999E-2</v>
          </cell>
        </row>
        <row r="667">
          <cell r="F667" t="str">
            <v>Contra Costa County Public Works</v>
          </cell>
          <cell r="J667">
            <v>6</v>
          </cell>
          <cell r="K667">
            <v>1.237108E-2</v>
          </cell>
        </row>
        <row r="668">
          <cell r="F668" t="str">
            <v>Contra Costa County Public Works</v>
          </cell>
          <cell r="J668">
            <v>6</v>
          </cell>
          <cell r="K668">
            <v>4.9484120000000001E-3</v>
          </cell>
        </row>
        <row r="669">
          <cell r="F669" t="str">
            <v>Contra Costa County Public Works</v>
          </cell>
          <cell r="J669">
            <v>6</v>
          </cell>
          <cell r="K669">
            <v>7.4787600000000001E-3</v>
          </cell>
        </row>
        <row r="670">
          <cell r="F670" t="str">
            <v>Contra Costa County Public Works</v>
          </cell>
          <cell r="J670">
            <v>6</v>
          </cell>
          <cell r="K670">
            <v>1.237102E-2</v>
          </cell>
        </row>
        <row r="671">
          <cell r="F671" t="str">
            <v>Contra Costa County Public Works</v>
          </cell>
          <cell r="J671">
            <v>6</v>
          </cell>
          <cell r="K671">
            <v>1.1114569999999999E-3</v>
          </cell>
        </row>
        <row r="672">
          <cell r="F672" t="str">
            <v>Contra Costa County Public Works</v>
          </cell>
          <cell r="J672">
            <v>6</v>
          </cell>
          <cell r="K672">
            <v>1.141937E-2</v>
          </cell>
        </row>
        <row r="673">
          <cell r="F673" t="str">
            <v>Contra Costa County Public Works</v>
          </cell>
          <cell r="J673">
            <v>6</v>
          </cell>
          <cell r="K673">
            <v>2.459979E-2</v>
          </cell>
        </row>
        <row r="674">
          <cell r="F674" t="str">
            <v>Contra Costa County Public Works</v>
          </cell>
          <cell r="J674">
            <v>6</v>
          </cell>
          <cell r="K674">
            <v>9.3296469999999999E-3</v>
          </cell>
        </row>
        <row r="675">
          <cell r="F675" t="str">
            <v>Contra Costa County Public Works</v>
          </cell>
          <cell r="J675">
            <v>6</v>
          </cell>
          <cell r="K675">
            <v>9.3097570000000001E-3</v>
          </cell>
        </row>
        <row r="676">
          <cell r="F676" t="str">
            <v>Contra Costa County Public Works</v>
          </cell>
          <cell r="J676">
            <v>6</v>
          </cell>
          <cell r="K676">
            <v>1.8620169999999998E-2</v>
          </cell>
        </row>
        <row r="677">
          <cell r="F677" t="str">
            <v>Contra Costa County Public Works</v>
          </cell>
          <cell r="J677">
            <v>6</v>
          </cell>
          <cell r="K677">
            <v>1.228196E-2</v>
          </cell>
        </row>
        <row r="678">
          <cell r="F678" t="str">
            <v>East Bay Regional Park District</v>
          </cell>
          <cell r="J678">
            <v>6</v>
          </cell>
          <cell r="K678">
            <v>1.537609E-2</v>
          </cell>
        </row>
        <row r="679">
          <cell r="F679" t="str">
            <v>East Bay Regional Park District</v>
          </cell>
          <cell r="J679">
            <v>6</v>
          </cell>
          <cell r="K679">
            <v>2.8917320000000002E-3</v>
          </cell>
        </row>
        <row r="680">
          <cell r="F680" t="str">
            <v>East Bay Regional Park District</v>
          </cell>
          <cell r="J680">
            <v>6</v>
          </cell>
          <cell r="K680">
            <v>6.7583740000000002E-4</v>
          </cell>
        </row>
        <row r="681">
          <cell r="F681" t="str">
            <v>East Bay Regional Park District</v>
          </cell>
          <cell r="J681">
            <v>6</v>
          </cell>
          <cell r="K681">
            <v>1.9637040000000001E-3</v>
          </cell>
        </row>
        <row r="682">
          <cell r="F682" t="str">
            <v>East Bay Regional Park District</v>
          </cell>
          <cell r="J682">
            <v>6</v>
          </cell>
          <cell r="K682">
            <v>1.1388139999999999E-3</v>
          </cell>
        </row>
        <row r="683">
          <cell r="F683" t="str">
            <v>East Bay Regional Park District</v>
          </cell>
          <cell r="J683">
            <v>6</v>
          </cell>
          <cell r="K683">
            <v>2.1991329999999998E-3</v>
          </cell>
        </row>
        <row r="684">
          <cell r="F684" t="str">
            <v>East Bay Regional Park District</v>
          </cell>
          <cell r="J684">
            <v>6</v>
          </cell>
          <cell r="K684">
            <v>2.9914049999999999E-3</v>
          </cell>
        </row>
        <row r="685">
          <cell r="F685" t="str">
            <v>East Bay Regional Park District</v>
          </cell>
          <cell r="J685">
            <v>6</v>
          </cell>
          <cell r="K685">
            <v>2.8193430000000002E-3</v>
          </cell>
        </row>
        <row r="686">
          <cell r="F686" t="str">
            <v>East Bay Regional Park District</v>
          </cell>
          <cell r="J686">
            <v>6</v>
          </cell>
          <cell r="K686">
            <v>1.9774609999999998E-3</v>
          </cell>
        </row>
        <row r="687">
          <cell r="F687" t="str">
            <v>East Bay Regional Park District</v>
          </cell>
          <cell r="J687">
            <v>6</v>
          </cell>
          <cell r="K687">
            <v>1.9125710000000001E-3</v>
          </cell>
        </row>
        <row r="688">
          <cell r="F688" t="str">
            <v>East Bay Regional Park District</v>
          </cell>
          <cell r="J688">
            <v>6</v>
          </cell>
          <cell r="K688">
            <v>1.857586E-3</v>
          </cell>
        </row>
        <row r="689">
          <cell r="F689" t="str">
            <v>East Bay Regional Park District</v>
          </cell>
          <cell r="J689">
            <v>6</v>
          </cell>
          <cell r="K689">
            <v>1.8025630000000001E-3</v>
          </cell>
        </row>
        <row r="690">
          <cell r="F690" t="str">
            <v>East Bay Regional Park District</v>
          </cell>
          <cell r="J690">
            <v>6</v>
          </cell>
          <cell r="K690">
            <v>1.6925550000000001E-3</v>
          </cell>
        </row>
        <row r="691">
          <cell r="F691" t="str">
            <v>East Bay Regional Park District</v>
          </cell>
          <cell r="J691">
            <v>6</v>
          </cell>
          <cell r="K691">
            <v>1.6375319999999999E-3</v>
          </cell>
        </row>
        <row r="692">
          <cell r="F692" t="str">
            <v>East Bay Regional Park District</v>
          </cell>
          <cell r="J692">
            <v>6</v>
          </cell>
          <cell r="K692">
            <v>1.6332580000000001E-3</v>
          </cell>
        </row>
        <row r="693">
          <cell r="F693" t="str">
            <v>East Bay Regional Park District</v>
          </cell>
          <cell r="J693">
            <v>6</v>
          </cell>
          <cell r="K693">
            <v>3.9159199999999998E-3</v>
          </cell>
        </row>
        <row r="694">
          <cell r="F694" t="str">
            <v>East Bay Regional Park District</v>
          </cell>
          <cell r="J694">
            <v>6</v>
          </cell>
          <cell r="K694">
            <v>3.237335E-3</v>
          </cell>
        </row>
        <row r="695">
          <cell r="F695" t="str">
            <v>East Bay Regional Park District</v>
          </cell>
          <cell r="J695">
            <v>6</v>
          </cell>
          <cell r="K695">
            <v>3.2207500000000001E-3</v>
          </cell>
        </row>
        <row r="696">
          <cell r="F696" t="str">
            <v>East Bay Regional Park District</v>
          </cell>
          <cell r="J696">
            <v>6</v>
          </cell>
          <cell r="K696">
            <v>3.2550349999999999E-3</v>
          </cell>
        </row>
        <row r="697">
          <cell r="F697" t="str">
            <v>East Bay Regional Park District</v>
          </cell>
          <cell r="J697">
            <v>6</v>
          </cell>
          <cell r="K697">
            <v>3.2578580000000002E-3</v>
          </cell>
        </row>
        <row r="698">
          <cell r="F698" t="str">
            <v>East Bay Regional Park District</v>
          </cell>
          <cell r="J698">
            <v>6</v>
          </cell>
          <cell r="K698">
            <v>1.9492929999999999E-3</v>
          </cell>
        </row>
        <row r="699">
          <cell r="F699" t="str">
            <v>East Bay Regional Park District</v>
          </cell>
          <cell r="J699">
            <v>6</v>
          </cell>
          <cell r="K699">
            <v>7.2110580000000004E-4</v>
          </cell>
        </row>
        <row r="700">
          <cell r="F700" t="str">
            <v>East Bay Regional Park District</v>
          </cell>
          <cell r="J700">
            <v>6</v>
          </cell>
          <cell r="K700">
            <v>2.2035750000000002E-3</v>
          </cell>
        </row>
        <row r="701">
          <cell r="F701" t="str">
            <v>East Bay Regional Park District</v>
          </cell>
          <cell r="J701">
            <v>6</v>
          </cell>
          <cell r="K701">
            <v>2.6187950000000002E-3</v>
          </cell>
        </row>
        <row r="702">
          <cell r="F702" t="str">
            <v>East Bay Regional Park District</v>
          </cell>
          <cell r="J702">
            <v>6</v>
          </cell>
          <cell r="K702">
            <v>3.125914E-3</v>
          </cell>
        </row>
        <row r="703">
          <cell r="F703" t="str">
            <v>East Bay Regional Park District</v>
          </cell>
          <cell r="J703">
            <v>6</v>
          </cell>
          <cell r="K703">
            <v>8.845236E-4</v>
          </cell>
        </row>
        <row r="704">
          <cell r="F704" t="str">
            <v>East Bay Regional Park District</v>
          </cell>
          <cell r="J704">
            <v>6</v>
          </cell>
          <cell r="K704">
            <v>2.2876009999999998E-3</v>
          </cell>
        </row>
        <row r="705">
          <cell r="F705" t="str">
            <v>East Bay Regional Park District</v>
          </cell>
          <cell r="J705">
            <v>6</v>
          </cell>
          <cell r="K705">
            <v>2.8348190000000001E-3</v>
          </cell>
        </row>
        <row r="706">
          <cell r="F706" t="str">
            <v>East Bay Regional Park District</v>
          </cell>
          <cell r="J706">
            <v>6</v>
          </cell>
          <cell r="K706">
            <v>3.1083840000000001E-3</v>
          </cell>
        </row>
        <row r="707">
          <cell r="F707" t="str">
            <v>East Bay Regional Park District</v>
          </cell>
          <cell r="J707">
            <v>6</v>
          </cell>
          <cell r="K707">
            <v>8.9578209999999995E-4</v>
          </cell>
        </row>
        <row r="708">
          <cell r="F708" t="str">
            <v>East Bay Regional Park District</v>
          </cell>
          <cell r="J708">
            <v>6</v>
          </cell>
          <cell r="K708">
            <v>3.381935E-3</v>
          </cell>
        </row>
        <row r="709">
          <cell r="F709" t="str">
            <v>East Bay Regional Park District</v>
          </cell>
          <cell r="J709">
            <v>6</v>
          </cell>
          <cell r="K709">
            <v>2.1441260000000001E-3</v>
          </cell>
        </row>
        <row r="710">
          <cell r="F710" t="str">
            <v>East Bay Regional Park District</v>
          </cell>
          <cell r="J710">
            <v>6</v>
          </cell>
          <cell r="K710">
            <v>1.6761510000000001E-3</v>
          </cell>
        </row>
        <row r="711">
          <cell r="F711" t="str">
            <v>East Bay Regional Park District</v>
          </cell>
          <cell r="J711">
            <v>6</v>
          </cell>
          <cell r="K711">
            <v>3.1302740000000002E-3</v>
          </cell>
        </row>
        <row r="712">
          <cell r="F712" t="str">
            <v>East Bay Regional Park District</v>
          </cell>
          <cell r="J712">
            <v>6</v>
          </cell>
          <cell r="K712">
            <v>1.510366E-3</v>
          </cell>
        </row>
        <row r="713">
          <cell r="F713" t="str">
            <v>East Bay Regional Park District</v>
          </cell>
          <cell r="J713">
            <v>6</v>
          </cell>
          <cell r="K713">
            <v>2.7586619999999998E-3</v>
          </cell>
        </row>
        <row r="714">
          <cell r="F714" t="str">
            <v>East Bay Regional Park District</v>
          </cell>
          <cell r="J714">
            <v>6</v>
          </cell>
          <cell r="K714">
            <v>3.1302740000000002E-3</v>
          </cell>
        </row>
        <row r="715">
          <cell r="F715" t="str">
            <v>East Bay Regional Park District</v>
          </cell>
          <cell r="J715">
            <v>6</v>
          </cell>
          <cell r="K715">
            <v>0.10727440000000001</v>
          </cell>
        </row>
        <row r="716">
          <cell r="F716" t="str">
            <v>East Bay Regional Park District</v>
          </cell>
          <cell r="J716">
            <v>6</v>
          </cell>
          <cell r="K716">
            <v>2.199945E-3</v>
          </cell>
        </row>
        <row r="717">
          <cell r="F717" t="str">
            <v>East Bay Regional Park District</v>
          </cell>
          <cell r="J717">
            <v>6</v>
          </cell>
          <cell r="K717">
            <v>7.36668E-4</v>
          </cell>
        </row>
        <row r="718">
          <cell r="F718" t="str">
            <v>East Bay Regional Park District</v>
          </cell>
          <cell r="J718">
            <v>6</v>
          </cell>
          <cell r="K718">
            <v>9.2034859999999997E-4</v>
          </cell>
        </row>
        <row r="719">
          <cell r="F719" t="str">
            <v>East Bay Regional Park District</v>
          </cell>
          <cell r="J719">
            <v>6</v>
          </cell>
          <cell r="K719">
            <v>2.024231E-3</v>
          </cell>
        </row>
        <row r="720">
          <cell r="F720" t="str">
            <v>East Bay Regional Park District</v>
          </cell>
          <cell r="J720">
            <v>6</v>
          </cell>
          <cell r="K720">
            <v>1.5807169999999999E-4</v>
          </cell>
        </row>
        <row r="721">
          <cell r="F721" t="str">
            <v>East Bay Regional Park District</v>
          </cell>
          <cell r="J721">
            <v>6</v>
          </cell>
          <cell r="K721">
            <v>1.543598E-2</v>
          </cell>
        </row>
        <row r="722">
          <cell r="F722" t="str">
            <v>East Bay Regional Park District</v>
          </cell>
          <cell r="J722">
            <v>6</v>
          </cell>
          <cell r="K722">
            <v>9.3501640000000002E-5</v>
          </cell>
        </row>
        <row r="723">
          <cell r="F723" t="str">
            <v>East Bay Regional Park District</v>
          </cell>
          <cell r="J723">
            <v>6</v>
          </cell>
          <cell r="K723">
            <v>3.2057549999999998E-3</v>
          </cell>
        </row>
        <row r="724">
          <cell r="F724" t="str">
            <v>East Bay Regional Park District</v>
          </cell>
          <cell r="J724">
            <v>6</v>
          </cell>
          <cell r="K724">
            <v>1.7866880000000002E-2</v>
          </cell>
        </row>
        <row r="725">
          <cell r="F725" t="str">
            <v>East Bay Regional Park District</v>
          </cell>
          <cell r="J725">
            <v>6</v>
          </cell>
          <cell r="K725">
            <v>1.6730140000000001E-2</v>
          </cell>
        </row>
        <row r="726">
          <cell r="F726" t="str">
            <v>East Bay Regional Park District</v>
          </cell>
          <cell r="J726">
            <v>6</v>
          </cell>
          <cell r="K726">
            <v>6.3535600000000003E-3</v>
          </cell>
        </row>
        <row r="727">
          <cell r="F727" t="str">
            <v>East Bay Regional Park District</v>
          </cell>
          <cell r="J727">
            <v>6</v>
          </cell>
          <cell r="K727">
            <v>0.1055396</v>
          </cell>
        </row>
        <row r="728">
          <cell r="F728" t="str">
            <v>East Bay Regional Park District</v>
          </cell>
          <cell r="J728">
            <v>6</v>
          </cell>
          <cell r="K728">
            <v>4.3740680000000001E-3</v>
          </cell>
        </row>
        <row r="729">
          <cell r="F729" t="str">
            <v>East Bay Regional Park District</v>
          </cell>
          <cell r="J729">
            <v>6</v>
          </cell>
          <cell r="K729">
            <v>2.6128350000000002E-4</v>
          </cell>
        </row>
        <row r="730">
          <cell r="F730" t="str">
            <v>East Bay Regional Park District</v>
          </cell>
          <cell r="J730">
            <v>6</v>
          </cell>
          <cell r="K730">
            <v>1.244172E-2</v>
          </cell>
        </row>
        <row r="731">
          <cell r="F731" t="str">
            <v>Martinez Public Works Department</v>
          </cell>
          <cell r="J731">
            <v>6</v>
          </cell>
          <cell r="K731">
            <v>4.2591270000000001E-2</v>
          </cell>
        </row>
        <row r="732">
          <cell r="F732" t="str">
            <v>Martinez Public Works Department</v>
          </cell>
          <cell r="J732">
            <v>6</v>
          </cell>
          <cell r="K732">
            <v>4.8493160000000002E-3</v>
          </cell>
        </row>
        <row r="733">
          <cell r="F733" t="str">
            <v>Martinez Public Works Department</v>
          </cell>
          <cell r="J733">
            <v>6</v>
          </cell>
          <cell r="K733">
            <v>1.5668899999999999E-2</v>
          </cell>
        </row>
        <row r="734">
          <cell r="F734" t="str">
            <v>Pinole Public Works Department</v>
          </cell>
          <cell r="J734">
            <v>6</v>
          </cell>
          <cell r="K734">
            <v>1.636876E-3</v>
          </cell>
        </row>
        <row r="735">
          <cell r="F735" t="str">
            <v>Pinole Public Works Department</v>
          </cell>
          <cell r="J735">
            <v>6</v>
          </cell>
          <cell r="K735">
            <v>2.456356E-4</v>
          </cell>
        </row>
        <row r="736">
          <cell r="F736" t="str">
            <v>Pinole Public Works Department</v>
          </cell>
          <cell r="J736">
            <v>6</v>
          </cell>
          <cell r="K736">
            <v>6.418623E-3</v>
          </cell>
        </row>
        <row r="737">
          <cell r="F737" t="str">
            <v>Pinole Public Works Department</v>
          </cell>
          <cell r="J737">
            <v>6</v>
          </cell>
          <cell r="K737">
            <v>2.4567740000000001E-2</v>
          </cell>
        </row>
        <row r="738">
          <cell r="F738" t="str">
            <v>Pinole Public Works Department</v>
          </cell>
          <cell r="J738">
            <v>6</v>
          </cell>
          <cell r="K738">
            <v>3.7435670000000003E-5</v>
          </cell>
        </row>
        <row r="739">
          <cell r="F739" t="str">
            <v>Pinole Public Works Department</v>
          </cell>
          <cell r="J739">
            <v>6</v>
          </cell>
          <cell r="K739">
            <v>2.6644989999999999E-3</v>
          </cell>
        </row>
        <row r="740">
          <cell r="F740" t="str">
            <v>Pinole Public Works Department</v>
          </cell>
          <cell r="J740">
            <v>6</v>
          </cell>
          <cell r="K740">
            <v>3.1894499999999999E-3</v>
          </cell>
        </row>
        <row r="741">
          <cell r="F741" t="str">
            <v>Pinole Public Works Department</v>
          </cell>
          <cell r="J741">
            <v>6</v>
          </cell>
          <cell r="K741">
            <v>3.2332699999999999E-3</v>
          </cell>
        </row>
        <row r="742">
          <cell r="F742" t="str">
            <v>Pinole Public Works Department</v>
          </cell>
          <cell r="J742">
            <v>6</v>
          </cell>
          <cell r="K742">
            <v>1.931224E-4</v>
          </cell>
        </row>
        <row r="743">
          <cell r="F743" t="str">
            <v>Pinole Public Works Department</v>
          </cell>
          <cell r="J743">
            <v>6</v>
          </cell>
          <cell r="K743">
            <v>1.7948240000000001E-5</v>
          </cell>
        </row>
        <row r="744">
          <cell r="F744" t="str">
            <v>Pinole Public Works Department</v>
          </cell>
          <cell r="J744">
            <v>6</v>
          </cell>
          <cell r="K744">
            <v>5.1708039999999998E-4</v>
          </cell>
        </row>
        <row r="745">
          <cell r="F745" t="str">
            <v>Pinole Public Works Department</v>
          </cell>
          <cell r="J745">
            <v>6</v>
          </cell>
          <cell r="K745">
            <v>2.0638359999999999E-3</v>
          </cell>
        </row>
        <row r="746">
          <cell r="F746" t="str">
            <v>Pinole Public Works Department</v>
          </cell>
          <cell r="J746">
            <v>6</v>
          </cell>
          <cell r="K746">
            <v>1.028319E-3</v>
          </cell>
        </row>
        <row r="747">
          <cell r="F747" t="str">
            <v>Pinole Public Works Department</v>
          </cell>
          <cell r="J747">
            <v>6</v>
          </cell>
          <cell r="K747">
            <v>7.9772989999999996E-5</v>
          </cell>
        </row>
        <row r="748">
          <cell r="F748" t="str">
            <v>Pinole Public Works Department</v>
          </cell>
          <cell r="J748">
            <v>6</v>
          </cell>
          <cell r="K748">
            <v>2.7957400000000001E-3</v>
          </cell>
        </row>
        <row r="749">
          <cell r="F749" t="str">
            <v>Pinole Public Works Department</v>
          </cell>
          <cell r="J749">
            <v>6</v>
          </cell>
          <cell r="K749">
            <v>1.8473470000000001E-3</v>
          </cell>
        </row>
        <row r="750">
          <cell r="F750" t="str">
            <v>Pinole Public Works Department</v>
          </cell>
          <cell r="J750">
            <v>6</v>
          </cell>
          <cell r="K750">
            <v>4.8964990000000003E-3</v>
          </cell>
        </row>
        <row r="751">
          <cell r="F751" t="str">
            <v>Pinole Public Works Department</v>
          </cell>
          <cell r="J751">
            <v>6</v>
          </cell>
          <cell r="K751">
            <v>1.2691869999999999E-2</v>
          </cell>
        </row>
        <row r="752">
          <cell r="F752" t="str">
            <v>Pinole Public Works Department</v>
          </cell>
          <cell r="J752">
            <v>6</v>
          </cell>
          <cell r="K752">
            <v>2.3942019999999998E-3</v>
          </cell>
        </row>
        <row r="753">
          <cell r="F753" t="str">
            <v>Pinole Public Works Department</v>
          </cell>
          <cell r="J753">
            <v>6</v>
          </cell>
          <cell r="K753">
            <v>6.4559769999999999E-3</v>
          </cell>
        </row>
        <row r="754">
          <cell r="F754" t="str">
            <v>Pinole Public Works Department</v>
          </cell>
          <cell r="J754">
            <v>6</v>
          </cell>
          <cell r="K754">
            <v>4.1021720000000001E-4</v>
          </cell>
        </row>
        <row r="755">
          <cell r="F755" t="str">
            <v>Pinole Public Works Department</v>
          </cell>
          <cell r="J755">
            <v>6</v>
          </cell>
          <cell r="K755">
            <v>1.723132E-3</v>
          </cell>
        </row>
        <row r="756">
          <cell r="F756" t="str">
            <v>Pinole Public Works Department</v>
          </cell>
          <cell r="J756">
            <v>6</v>
          </cell>
          <cell r="K756">
            <v>8.7347869999999994E-2</v>
          </cell>
        </row>
        <row r="757">
          <cell r="F757" t="str">
            <v>Pinole Public Works Department</v>
          </cell>
          <cell r="J757">
            <v>6</v>
          </cell>
          <cell r="K757">
            <v>3.7128930000000001E-3</v>
          </cell>
        </row>
        <row r="758">
          <cell r="F758" t="str">
            <v>Pinole Public Works Department</v>
          </cell>
          <cell r="J758">
            <v>6</v>
          </cell>
          <cell r="K758">
            <v>2.3008080000000001E-3</v>
          </cell>
        </row>
        <row r="759">
          <cell r="F759" t="str">
            <v>Port of Richmond</v>
          </cell>
          <cell r="J759">
            <v>6</v>
          </cell>
          <cell r="K759">
            <v>8.5483979999999998E-4</v>
          </cell>
        </row>
        <row r="760">
          <cell r="F760" t="str">
            <v>Port of Richmond</v>
          </cell>
          <cell r="J760">
            <v>6</v>
          </cell>
          <cell r="K760">
            <v>1.3039830000000001E-3</v>
          </cell>
        </row>
        <row r="761">
          <cell r="F761" t="str">
            <v>Port of Richmond</v>
          </cell>
          <cell r="J761">
            <v>6</v>
          </cell>
          <cell r="K761">
            <v>7.3805299999999997E-3</v>
          </cell>
        </row>
        <row r="762">
          <cell r="F762" t="str">
            <v>Port of Richmond</v>
          </cell>
          <cell r="J762">
            <v>6</v>
          </cell>
          <cell r="K762">
            <v>2.4607869999999999E-3</v>
          </cell>
        </row>
        <row r="763">
          <cell r="F763" t="str">
            <v>Port of Richmond</v>
          </cell>
          <cell r="J763">
            <v>6</v>
          </cell>
          <cell r="K763">
            <v>2.4075730000000001E-3</v>
          </cell>
        </row>
        <row r="764">
          <cell r="F764" t="str">
            <v>Port of Richmond</v>
          </cell>
          <cell r="J764">
            <v>6</v>
          </cell>
          <cell r="K764">
            <v>3.4526280000000001E-3</v>
          </cell>
        </row>
        <row r="765">
          <cell r="F765" t="str">
            <v>Port of Richmond</v>
          </cell>
          <cell r="J765">
            <v>6</v>
          </cell>
          <cell r="K765">
            <v>3.6434000000000002E-3</v>
          </cell>
        </row>
        <row r="766">
          <cell r="F766" t="str">
            <v>Port of Richmond</v>
          </cell>
          <cell r="J766">
            <v>6</v>
          </cell>
          <cell r="K766">
            <v>6.2381529999999998E-3</v>
          </cell>
        </row>
        <row r="767">
          <cell r="F767" t="str">
            <v>Richmond Public Works Dept</v>
          </cell>
          <cell r="J767">
            <v>6</v>
          </cell>
          <cell r="K767">
            <v>1.5519150000000001E-2</v>
          </cell>
        </row>
        <row r="768">
          <cell r="F768" t="str">
            <v>Richmond Public Works Dept</v>
          </cell>
          <cell r="J768">
            <v>6</v>
          </cell>
          <cell r="K768">
            <v>5.0871729999999997E-2</v>
          </cell>
        </row>
        <row r="769">
          <cell r="F769" t="str">
            <v>Richmond Public Works Dept</v>
          </cell>
          <cell r="J769">
            <v>6</v>
          </cell>
          <cell r="K769">
            <v>4.5175010000000002E-3</v>
          </cell>
        </row>
        <row r="770">
          <cell r="F770" t="str">
            <v>Richmond Public Works Dept</v>
          </cell>
          <cell r="J770">
            <v>6</v>
          </cell>
          <cell r="K770">
            <v>2.4605719999999998E-3</v>
          </cell>
        </row>
        <row r="771">
          <cell r="F771" t="str">
            <v>Richmond Public Works Dept</v>
          </cell>
          <cell r="J771">
            <v>6</v>
          </cell>
          <cell r="K771">
            <v>2.5765250000000001E-3</v>
          </cell>
        </row>
        <row r="772">
          <cell r="F772" t="str">
            <v>Richmond Public Works Dept</v>
          </cell>
          <cell r="J772">
            <v>6</v>
          </cell>
          <cell r="K772">
            <v>2.011021E-3</v>
          </cell>
        </row>
        <row r="773">
          <cell r="F773" t="str">
            <v>Richmond Public Works Dept</v>
          </cell>
          <cell r="J773">
            <v>6</v>
          </cell>
          <cell r="K773">
            <v>2.5765250000000001E-3</v>
          </cell>
        </row>
        <row r="774">
          <cell r="F774" t="str">
            <v>Richmond Public Works Dept</v>
          </cell>
          <cell r="J774">
            <v>6</v>
          </cell>
          <cell r="K774">
            <v>2.1798709999999999E-3</v>
          </cell>
        </row>
        <row r="775">
          <cell r="F775" t="str">
            <v>Richmond Public Works Dept</v>
          </cell>
          <cell r="J775">
            <v>6</v>
          </cell>
          <cell r="K775">
            <v>2.7730089999999999E-3</v>
          </cell>
        </row>
        <row r="776">
          <cell r="F776" t="str">
            <v>Richmond Public Works Dept</v>
          </cell>
          <cell r="J776">
            <v>6</v>
          </cell>
          <cell r="K776">
            <v>2.9973529999999999E-3</v>
          </cell>
        </row>
        <row r="777">
          <cell r="F777" t="str">
            <v>Richmond Public Works Dept</v>
          </cell>
          <cell r="J777">
            <v>6</v>
          </cell>
          <cell r="K777">
            <v>3.790625E-4</v>
          </cell>
        </row>
        <row r="778">
          <cell r="F778" t="str">
            <v>Richmond Public Works Dept</v>
          </cell>
          <cell r="J778">
            <v>6</v>
          </cell>
          <cell r="K778">
            <v>1.6209760000000001E-3</v>
          </cell>
        </row>
        <row r="779">
          <cell r="F779" t="str">
            <v>Richmond Public Works Dept</v>
          </cell>
          <cell r="J779">
            <v>6</v>
          </cell>
          <cell r="K779">
            <v>1.2017390000000001E-3</v>
          </cell>
        </row>
        <row r="780">
          <cell r="F780" t="str">
            <v>Richmond Public Works Dept</v>
          </cell>
          <cell r="J780">
            <v>6</v>
          </cell>
          <cell r="K780">
            <v>7.8241379999999998E-4</v>
          </cell>
        </row>
        <row r="781">
          <cell r="F781" t="str">
            <v>Richmond Public Works Dept</v>
          </cell>
          <cell r="J781">
            <v>6</v>
          </cell>
          <cell r="K781">
            <v>3.6326419999999998E-4</v>
          </cell>
        </row>
        <row r="782">
          <cell r="F782" t="str">
            <v>Richmond Public Works Dept</v>
          </cell>
          <cell r="J782">
            <v>6</v>
          </cell>
          <cell r="K782">
            <v>3.0675990000000002E-4</v>
          </cell>
        </row>
        <row r="783">
          <cell r="F783" t="str">
            <v>Richmond Public Works Dept</v>
          </cell>
          <cell r="J783">
            <v>6</v>
          </cell>
          <cell r="K783">
            <v>9.8642229999999992E-4</v>
          </cell>
        </row>
        <row r="784">
          <cell r="F784" t="str">
            <v>Richmond Public Works Dept</v>
          </cell>
          <cell r="J784">
            <v>6</v>
          </cell>
          <cell r="K784">
            <v>1.8880430000000001E-4</v>
          </cell>
        </row>
        <row r="785">
          <cell r="F785" t="str">
            <v>Richmond Public Works Dept</v>
          </cell>
          <cell r="J785">
            <v>6</v>
          </cell>
          <cell r="K785">
            <v>5.2585740000000005E-4</v>
          </cell>
        </row>
        <row r="786">
          <cell r="F786" t="str">
            <v>Richmond Public Works Dept</v>
          </cell>
          <cell r="J786">
            <v>6</v>
          </cell>
          <cell r="K786">
            <v>3.255984E-3</v>
          </cell>
        </row>
        <row r="787">
          <cell r="F787" t="str">
            <v>Richmond Public Works Dept</v>
          </cell>
          <cell r="J787">
            <v>6</v>
          </cell>
          <cell r="K787">
            <v>2.4581899999999999E-3</v>
          </cell>
        </row>
        <row r="788">
          <cell r="F788" t="str">
            <v>Richmond Public Works Dept</v>
          </cell>
          <cell r="J788">
            <v>6</v>
          </cell>
          <cell r="K788">
            <v>6.8875409999999996E-3</v>
          </cell>
        </row>
        <row r="789">
          <cell r="F789" t="str">
            <v>Richmond Public Works Dept</v>
          </cell>
          <cell r="J789">
            <v>6</v>
          </cell>
          <cell r="K789">
            <v>5.566379E-4</v>
          </cell>
        </row>
        <row r="790">
          <cell r="F790" t="str">
            <v>Richmond Public Works Dept</v>
          </cell>
          <cell r="J790">
            <v>6</v>
          </cell>
          <cell r="K790">
            <v>1.749989E-3</v>
          </cell>
        </row>
        <row r="791">
          <cell r="F791" t="str">
            <v>Richmond Public Works Dept</v>
          </cell>
          <cell r="J791">
            <v>6</v>
          </cell>
          <cell r="K791">
            <v>1.0184969999999999E-3</v>
          </cell>
        </row>
        <row r="792">
          <cell r="F792" t="str">
            <v>Richmond Public Works Dept</v>
          </cell>
          <cell r="J792">
            <v>6</v>
          </cell>
          <cell r="K792">
            <v>4.4439799999999998E-4</v>
          </cell>
        </row>
        <row r="793">
          <cell r="F793" t="str">
            <v>Richmond Public Works Dept</v>
          </cell>
          <cell r="J793">
            <v>6</v>
          </cell>
          <cell r="K793">
            <v>2.8718040000000003E-4</v>
          </cell>
        </row>
        <row r="794">
          <cell r="F794" t="str">
            <v>Richmond Public Works Dept</v>
          </cell>
          <cell r="J794">
            <v>6</v>
          </cell>
          <cell r="K794">
            <v>7.4881640000000005E-4</v>
          </cell>
        </row>
        <row r="795">
          <cell r="F795" t="str">
            <v>Richmond Public Works Dept</v>
          </cell>
          <cell r="J795">
            <v>6</v>
          </cell>
          <cell r="K795">
            <v>7.4770649999999994E-2</v>
          </cell>
        </row>
        <row r="796">
          <cell r="F796" t="str">
            <v>Richmond Public Works Dept</v>
          </cell>
          <cell r="J796">
            <v>6</v>
          </cell>
          <cell r="K796">
            <v>1.34545E-3</v>
          </cell>
        </row>
        <row r="797">
          <cell r="F797" t="str">
            <v>Richmond Public Works Dept</v>
          </cell>
          <cell r="J797">
            <v>6</v>
          </cell>
          <cell r="K797">
            <v>1.586975E-4</v>
          </cell>
        </row>
        <row r="798">
          <cell r="F798" t="str">
            <v>Richmond Public Works Dept</v>
          </cell>
          <cell r="J798">
            <v>6</v>
          </cell>
          <cell r="K798">
            <v>1.5322590000000001E-4</v>
          </cell>
        </row>
        <row r="799">
          <cell r="F799" t="str">
            <v>Richmond Public Works Dept</v>
          </cell>
          <cell r="J799">
            <v>6</v>
          </cell>
          <cell r="K799">
            <v>1.4814670000000001E-4</v>
          </cell>
        </row>
        <row r="800">
          <cell r="F800" t="str">
            <v>Richmond Public Works Dept</v>
          </cell>
          <cell r="J800">
            <v>6</v>
          </cell>
          <cell r="K800">
            <v>1.4330730000000001E-4</v>
          </cell>
        </row>
        <row r="801">
          <cell r="F801" t="str">
            <v>Richmond Public Works Dept</v>
          </cell>
          <cell r="J801">
            <v>6</v>
          </cell>
          <cell r="K801">
            <v>1.391927E-4</v>
          </cell>
        </row>
        <row r="802">
          <cell r="F802" t="str">
            <v>Richmond Public Works Dept</v>
          </cell>
          <cell r="J802">
            <v>6</v>
          </cell>
          <cell r="K802">
            <v>1.35258E-4</v>
          </cell>
        </row>
        <row r="803">
          <cell r="F803" t="str">
            <v>Richmond Public Works Dept</v>
          </cell>
          <cell r="J803">
            <v>6</v>
          </cell>
          <cell r="K803">
            <v>1.159876E-4</v>
          </cell>
        </row>
        <row r="804">
          <cell r="F804" t="str">
            <v>Richmond Public Works Dept</v>
          </cell>
          <cell r="J804">
            <v>6</v>
          </cell>
          <cell r="K804">
            <v>8.4861460000000002E-4</v>
          </cell>
        </row>
        <row r="805">
          <cell r="F805" t="str">
            <v>Richmond Public Works Dept</v>
          </cell>
          <cell r="J805">
            <v>6</v>
          </cell>
          <cell r="K805">
            <v>1.4274509999999999E-3</v>
          </cell>
        </row>
        <row r="806">
          <cell r="F806" t="str">
            <v>Richmond Public Works Dept</v>
          </cell>
          <cell r="J806">
            <v>6</v>
          </cell>
          <cell r="K806">
            <v>1.7401109999999999E-3</v>
          </cell>
        </row>
        <row r="807">
          <cell r="F807" t="str">
            <v>Richmond Public Works Dept</v>
          </cell>
          <cell r="J807">
            <v>6</v>
          </cell>
          <cell r="K807">
            <v>2.7510270000000001E-3</v>
          </cell>
        </row>
        <row r="808">
          <cell r="F808" t="str">
            <v>Richmond Public Works Dept</v>
          </cell>
          <cell r="J808">
            <v>6</v>
          </cell>
          <cell r="K808">
            <v>2.9093700000000001E-3</v>
          </cell>
        </row>
        <row r="809">
          <cell r="F809" t="str">
            <v>Richmond Public Works Dept</v>
          </cell>
          <cell r="J809">
            <v>6</v>
          </cell>
          <cell r="K809">
            <v>1.5847439999999999E-3</v>
          </cell>
        </row>
        <row r="810">
          <cell r="F810" t="str">
            <v>Richmond Public Works Dept</v>
          </cell>
          <cell r="J810">
            <v>6</v>
          </cell>
          <cell r="K810">
            <v>1.9936210000000001E-3</v>
          </cell>
        </row>
        <row r="811">
          <cell r="F811" t="str">
            <v>Richmond Public Works Dept</v>
          </cell>
          <cell r="J811">
            <v>6</v>
          </cell>
          <cell r="K811">
            <v>1.783353E-2</v>
          </cell>
        </row>
        <row r="812">
          <cell r="F812" t="str">
            <v>Richmond Public Works Dept</v>
          </cell>
          <cell r="J812">
            <v>6</v>
          </cell>
          <cell r="K812">
            <v>1.7873539999999999E-3</v>
          </cell>
        </row>
        <row r="813">
          <cell r="F813" t="str">
            <v>Richmond Public Works Dept</v>
          </cell>
          <cell r="J813">
            <v>6</v>
          </cell>
          <cell r="K813">
            <v>3.4127329999999997E-2</v>
          </cell>
        </row>
        <row r="814">
          <cell r="F814" t="str">
            <v>Richmond Public Works Dept</v>
          </cell>
          <cell r="J814">
            <v>6</v>
          </cell>
          <cell r="K814">
            <v>9.7705569999999992E-3</v>
          </cell>
        </row>
        <row r="815">
          <cell r="F815" t="str">
            <v>Richmond Public Works Dept</v>
          </cell>
          <cell r="J815">
            <v>6</v>
          </cell>
          <cell r="K815">
            <v>8.7981660000000005E-4</v>
          </cell>
        </row>
        <row r="816">
          <cell r="F816" t="str">
            <v>Richmond Public Works Dept</v>
          </cell>
          <cell r="J816">
            <v>6</v>
          </cell>
          <cell r="K816">
            <v>3.1046699999999999E-3</v>
          </cell>
        </row>
        <row r="817">
          <cell r="F817" t="str">
            <v>Richmond Public Works Dept</v>
          </cell>
          <cell r="J817">
            <v>6</v>
          </cell>
          <cell r="K817">
            <v>2.402599E-4</v>
          </cell>
        </row>
        <row r="818">
          <cell r="F818" t="str">
            <v>Richmond Public Works Dept</v>
          </cell>
          <cell r="J818">
            <v>6</v>
          </cell>
          <cell r="K818">
            <v>1.5264180000000001E-3</v>
          </cell>
        </row>
        <row r="819">
          <cell r="F819" t="str">
            <v>Richmond Public Works Dept</v>
          </cell>
          <cell r="J819">
            <v>6</v>
          </cell>
          <cell r="K819">
            <v>4.3587749999999996E-3</v>
          </cell>
        </row>
        <row r="820">
          <cell r="F820" t="str">
            <v>Richmond Public Works Dept</v>
          </cell>
          <cell r="J820">
            <v>6</v>
          </cell>
          <cell r="K820">
            <v>4.6775900000000002E-2</v>
          </cell>
        </row>
        <row r="821">
          <cell r="F821" t="str">
            <v>Richmond Public Works Dept</v>
          </cell>
          <cell r="J821">
            <v>6</v>
          </cell>
          <cell r="K821">
            <v>1.9017940000000001E-2</v>
          </cell>
        </row>
        <row r="822">
          <cell r="F822" t="str">
            <v>Richmond Public Works Dept</v>
          </cell>
          <cell r="J822">
            <v>6</v>
          </cell>
          <cell r="K822">
            <v>7.373859E-3</v>
          </cell>
        </row>
        <row r="823">
          <cell r="F823" t="str">
            <v>Richmond Public Works Dept</v>
          </cell>
          <cell r="J823">
            <v>6</v>
          </cell>
          <cell r="K823">
            <v>1.7590279999999999E-3</v>
          </cell>
        </row>
        <row r="824">
          <cell r="F824" t="str">
            <v>Richmond Public Works Dept</v>
          </cell>
          <cell r="J824">
            <v>6</v>
          </cell>
          <cell r="K824">
            <v>2.2536029999999999E-2</v>
          </cell>
        </row>
        <row r="825">
          <cell r="F825" t="str">
            <v>Richmond Public Works Dept</v>
          </cell>
          <cell r="J825">
            <v>6</v>
          </cell>
          <cell r="K825">
            <v>0.1101109</v>
          </cell>
        </row>
        <row r="826">
          <cell r="F826" t="str">
            <v>Richmond Public Works Dept</v>
          </cell>
          <cell r="J826">
            <v>6</v>
          </cell>
          <cell r="K826">
            <v>3.0729529999999998E-3</v>
          </cell>
        </row>
        <row r="827">
          <cell r="F827" t="str">
            <v>Richmond Public Works Dept</v>
          </cell>
          <cell r="J827">
            <v>6</v>
          </cell>
          <cell r="K827">
            <v>1.3080310000000001E-3</v>
          </cell>
        </row>
        <row r="828">
          <cell r="F828" t="str">
            <v>Richmond Public Works Dept</v>
          </cell>
          <cell r="J828">
            <v>6</v>
          </cell>
          <cell r="K828">
            <v>2.8288219999999999E-3</v>
          </cell>
        </row>
        <row r="829">
          <cell r="F829" t="str">
            <v>Richmond Public Works Dept</v>
          </cell>
          <cell r="J829">
            <v>6</v>
          </cell>
          <cell r="K829">
            <v>3.455301E-3</v>
          </cell>
        </row>
        <row r="830">
          <cell r="F830" t="str">
            <v>Richmond Public Works Dept</v>
          </cell>
          <cell r="J830">
            <v>6</v>
          </cell>
          <cell r="K830">
            <v>2.7804660000000001E-3</v>
          </cell>
        </row>
        <row r="831">
          <cell r="F831" t="str">
            <v>Richmond Public Works Dept</v>
          </cell>
          <cell r="J831">
            <v>6</v>
          </cell>
          <cell r="K831">
            <v>6.5171309999999998E-4</v>
          </cell>
        </row>
        <row r="832">
          <cell r="F832" t="str">
            <v>Richmond Public Works Dept</v>
          </cell>
          <cell r="J832">
            <v>6</v>
          </cell>
          <cell r="K832">
            <v>2.1140830000000001E-3</v>
          </cell>
        </row>
        <row r="833">
          <cell r="F833" t="str">
            <v>Richmond Public Works Dept</v>
          </cell>
          <cell r="J833">
            <v>6</v>
          </cell>
          <cell r="K833">
            <v>2.5890940000000001E-2</v>
          </cell>
        </row>
        <row r="834">
          <cell r="F834" t="str">
            <v>Richmond Public Works Dept</v>
          </cell>
          <cell r="J834">
            <v>6</v>
          </cell>
          <cell r="K834">
            <v>7.1781759999999997E-3</v>
          </cell>
        </row>
        <row r="835">
          <cell r="F835" t="str">
            <v>Richmond Public Works Dept</v>
          </cell>
          <cell r="J835">
            <v>6</v>
          </cell>
          <cell r="K835">
            <v>1.1973579999999999E-3</v>
          </cell>
        </row>
        <row r="836">
          <cell r="F836" t="str">
            <v>Richmond Public Works Dept</v>
          </cell>
          <cell r="J836">
            <v>6</v>
          </cell>
          <cell r="K836">
            <v>0.14048859999999999</v>
          </cell>
        </row>
        <row r="837">
          <cell r="F837" t="str">
            <v>Richmond Public Works Dept</v>
          </cell>
          <cell r="J837">
            <v>6</v>
          </cell>
          <cell r="K837">
            <v>6.8794420000000004E-3</v>
          </cell>
        </row>
        <row r="838">
          <cell r="F838" t="str">
            <v>Richmond Public Works Dept</v>
          </cell>
          <cell r="J838">
            <v>6</v>
          </cell>
          <cell r="K838">
            <v>2.0267369999999998E-3</v>
          </cell>
        </row>
        <row r="839">
          <cell r="F839" t="str">
            <v>Richmond Public Works Dept</v>
          </cell>
          <cell r="J839">
            <v>6</v>
          </cell>
          <cell r="K839">
            <v>3.0463090000000002E-2</v>
          </cell>
        </row>
        <row r="840">
          <cell r="F840" t="str">
            <v>Richmond Public Works Dept</v>
          </cell>
          <cell r="J840">
            <v>6</v>
          </cell>
          <cell r="K840">
            <v>3.2117020000000003E-2</v>
          </cell>
        </row>
        <row r="841">
          <cell r="F841" t="str">
            <v>Richmond Public Works Dept</v>
          </cell>
          <cell r="J841">
            <v>6</v>
          </cell>
          <cell r="K841">
            <v>4.796089E-4</v>
          </cell>
        </row>
        <row r="842">
          <cell r="F842" t="str">
            <v>Richmond Public Works Dept</v>
          </cell>
          <cell r="J842">
            <v>6</v>
          </cell>
          <cell r="K842">
            <v>1.7011439999999999E-2</v>
          </cell>
        </row>
        <row r="843">
          <cell r="F843" t="str">
            <v>Richmond Public Works Dept</v>
          </cell>
          <cell r="J843">
            <v>6</v>
          </cell>
          <cell r="K843">
            <v>9.9768259999999998E-2</v>
          </cell>
        </row>
        <row r="844">
          <cell r="F844" t="str">
            <v>Richmond Public Works Dept</v>
          </cell>
          <cell r="J844">
            <v>6</v>
          </cell>
          <cell r="K844">
            <v>2.7922289999999999E-2</v>
          </cell>
        </row>
        <row r="845">
          <cell r="F845" t="str">
            <v>Richmond Public Works Dept</v>
          </cell>
          <cell r="J845">
            <v>6</v>
          </cell>
          <cell r="K845">
            <v>2.4620200000000001E-3</v>
          </cell>
        </row>
        <row r="846">
          <cell r="F846" t="str">
            <v>Richmond Public Works Dept</v>
          </cell>
          <cell r="J846">
            <v>6</v>
          </cell>
          <cell r="K846">
            <v>4.2904240000000003E-2</v>
          </cell>
        </row>
        <row r="847">
          <cell r="F847" t="str">
            <v>Richmond Public Works Dept</v>
          </cell>
          <cell r="J847">
            <v>6</v>
          </cell>
          <cell r="K847">
            <v>1.863798E-4</v>
          </cell>
        </row>
        <row r="848">
          <cell r="F848" t="str">
            <v>Richmond Public Works Dept</v>
          </cell>
          <cell r="J848">
            <v>6</v>
          </cell>
          <cell r="K848">
            <v>6.6741149999999998E-4</v>
          </cell>
        </row>
        <row r="849">
          <cell r="F849" t="str">
            <v>Richmond Public Works Dept</v>
          </cell>
          <cell r="J849">
            <v>6</v>
          </cell>
          <cell r="K849">
            <v>2.3562380000000001E-2</v>
          </cell>
        </row>
        <row r="850">
          <cell r="F850" t="str">
            <v>Richmond Public Works Dept</v>
          </cell>
          <cell r="J850">
            <v>6</v>
          </cell>
          <cell r="K850">
            <v>1.9154949999999999E-3</v>
          </cell>
        </row>
        <row r="851">
          <cell r="F851" t="str">
            <v>Richmond Public Works Dept</v>
          </cell>
          <cell r="J851">
            <v>6</v>
          </cell>
          <cell r="K851">
            <v>2.626078E-3</v>
          </cell>
        </row>
        <row r="852">
          <cell r="F852" t="str">
            <v>Richmond Public Works Dept</v>
          </cell>
          <cell r="J852">
            <v>6</v>
          </cell>
          <cell r="K852">
            <v>3.336576E-3</v>
          </cell>
        </row>
        <row r="853">
          <cell r="F853" t="str">
            <v>Richmond Public Works Dept</v>
          </cell>
          <cell r="J853">
            <v>6</v>
          </cell>
          <cell r="K853">
            <v>1.9842079999999999E-3</v>
          </cell>
        </row>
        <row r="854">
          <cell r="F854" t="str">
            <v>Richmond Public Works Dept</v>
          </cell>
          <cell r="J854">
            <v>6</v>
          </cell>
          <cell r="K854">
            <v>3.1632689999999998E-3</v>
          </cell>
        </row>
        <row r="855">
          <cell r="F855" t="str">
            <v>Richmond Public Works Dept</v>
          </cell>
          <cell r="J855">
            <v>6</v>
          </cell>
          <cell r="K855">
            <v>3.2360840000000002E-3</v>
          </cell>
        </row>
        <row r="856">
          <cell r="F856" t="str">
            <v>Richmond Public Works Dept</v>
          </cell>
          <cell r="J856">
            <v>6</v>
          </cell>
          <cell r="K856">
            <v>1.191978E-2</v>
          </cell>
        </row>
        <row r="857">
          <cell r="F857" t="str">
            <v>Richmond Public Works Dept</v>
          </cell>
          <cell r="J857">
            <v>6</v>
          </cell>
          <cell r="K857">
            <v>1.5691209999999999E-3</v>
          </cell>
        </row>
        <row r="858">
          <cell r="F858" t="str">
            <v>Richmond Public Works Dept</v>
          </cell>
          <cell r="J858">
            <v>6</v>
          </cell>
          <cell r="K858">
            <v>4.6140800000000003E-2</v>
          </cell>
        </row>
        <row r="859">
          <cell r="F859" t="str">
            <v>Richmond Public Works Dept</v>
          </cell>
          <cell r="J859">
            <v>6</v>
          </cell>
          <cell r="K859">
            <v>1.540713E-2</v>
          </cell>
        </row>
        <row r="860">
          <cell r="F860" t="str">
            <v>Richmond Public Works Dept</v>
          </cell>
          <cell r="J860">
            <v>6</v>
          </cell>
          <cell r="K860">
            <v>7.5886840000000001E-3</v>
          </cell>
        </row>
        <row r="861">
          <cell r="F861" t="str">
            <v>Richmond Public Works Dept</v>
          </cell>
          <cell r="J861">
            <v>6</v>
          </cell>
          <cell r="K861">
            <v>2.5691490000000002E-3</v>
          </cell>
        </row>
        <row r="862">
          <cell r="F862" t="str">
            <v>Richmond Public Works Dept</v>
          </cell>
          <cell r="J862">
            <v>6</v>
          </cell>
          <cell r="K862">
            <v>2.4855189999999999E-2</v>
          </cell>
        </row>
        <row r="863">
          <cell r="F863" t="str">
            <v>Richmond Public Works Dept</v>
          </cell>
          <cell r="J863">
            <v>6</v>
          </cell>
          <cell r="K863">
            <v>2.2438119999999999E-2</v>
          </cell>
        </row>
        <row r="864">
          <cell r="F864" t="str">
            <v>Richmond Public Works Dept</v>
          </cell>
          <cell r="J864">
            <v>6</v>
          </cell>
          <cell r="K864">
            <v>2.7968010000000001E-2</v>
          </cell>
        </row>
        <row r="865">
          <cell r="F865" t="str">
            <v>Richmond Public Works Dept</v>
          </cell>
          <cell r="J865">
            <v>6</v>
          </cell>
          <cell r="K865">
            <v>7.9501840000000004E-2</v>
          </cell>
        </row>
        <row r="866">
          <cell r="F866" t="str">
            <v>Richmond Public Works Dept</v>
          </cell>
          <cell r="J866">
            <v>6</v>
          </cell>
          <cell r="K866">
            <v>3.4128739999999998E-2</v>
          </cell>
        </row>
        <row r="867">
          <cell r="F867" t="str">
            <v>Richmond Public Works Dept</v>
          </cell>
          <cell r="J867">
            <v>6</v>
          </cell>
          <cell r="K867">
            <v>6.2076609999999997E-3</v>
          </cell>
        </row>
        <row r="868">
          <cell r="F868" t="str">
            <v>Richmond Public Works Dept</v>
          </cell>
          <cell r="J868">
            <v>6</v>
          </cell>
          <cell r="K868">
            <v>4.6214469999999999E-3</v>
          </cell>
        </row>
        <row r="869">
          <cell r="F869" t="str">
            <v>Richmond Public Works Dept</v>
          </cell>
          <cell r="J869">
            <v>6</v>
          </cell>
          <cell r="K869">
            <v>7.3734839999999996E-3</v>
          </cell>
        </row>
        <row r="870">
          <cell r="F870" t="str">
            <v>Richmond Public Works Dept</v>
          </cell>
          <cell r="J870">
            <v>6</v>
          </cell>
          <cell r="K870">
            <v>7.6470869999999996E-2</v>
          </cell>
        </row>
        <row r="871">
          <cell r="F871" t="str">
            <v>Richmond Public Works Dept</v>
          </cell>
          <cell r="J871">
            <v>6</v>
          </cell>
          <cell r="K871">
            <v>1.59026E-3</v>
          </cell>
        </row>
        <row r="872">
          <cell r="F872" t="str">
            <v>Richmond Public Works Dept</v>
          </cell>
          <cell r="J872">
            <v>6</v>
          </cell>
          <cell r="K872">
            <v>1.307449E-3</v>
          </cell>
        </row>
        <row r="873">
          <cell r="F873" t="str">
            <v>Richmond Public Works Dept</v>
          </cell>
          <cell r="J873">
            <v>6</v>
          </cell>
          <cell r="K873">
            <v>3.1120319999999998E-3</v>
          </cell>
        </row>
        <row r="874">
          <cell r="F874" t="str">
            <v>Richmond Public Works Dept</v>
          </cell>
          <cell r="J874">
            <v>6</v>
          </cell>
          <cell r="K874">
            <v>3.5208230000000002E-3</v>
          </cell>
        </row>
        <row r="875">
          <cell r="F875" t="str">
            <v>Richmond Public Works Dept</v>
          </cell>
          <cell r="J875">
            <v>6</v>
          </cell>
          <cell r="K875">
            <v>3.6931920000000001E-3</v>
          </cell>
        </row>
        <row r="876">
          <cell r="F876" t="str">
            <v>Richmond Public Works Dept</v>
          </cell>
          <cell r="J876">
            <v>6</v>
          </cell>
          <cell r="K876">
            <v>2.881055E-3</v>
          </cell>
        </row>
        <row r="877">
          <cell r="F877" t="str">
            <v>Richmond Public Works Dept</v>
          </cell>
          <cell r="J877">
            <v>6</v>
          </cell>
          <cell r="K877">
            <v>3.2712679999999999E-3</v>
          </cell>
        </row>
        <row r="878">
          <cell r="F878" t="str">
            <v>Richmond Public Works Dept</v>
          </cell>
          <cell r="J878">
            <v>6</v>
          </cell>
          <cell r="K878">
            <v>1.044077E-3</v>
          </cell>
        </row>
        <row r="879">
          <cell r="F879" t="str">
            <v>Richmond Public Works Dept</v>
          </cell>
          <cell r="J879">
            <v>6</v>
          </cell>
          <cell r="K879">
            <v>1.4509060000000001E-3</v>
          </cell>
        </row>
        <row r="880">
          <cell r="F880" t="str">
            <v>Richmond Public Works Dept</v>
          </cell>
          <cell r="J880">
            <v>6</v>
          </cell>
          <cell r="K880">
            <v>1.754781E-3</v>
          </cell>
        </row>
        <row r="881">
          <cell r="F881" t="str">
            <v>Richmond Public Works Dept</v>
          </cell>
          <cell r="J881">
            <v>6</v>
          </cell>
          <cell r="K881">
            <v>1.21999E-3</v>
          </cell>
        </row>
        <row r="882">
          <cell r="F882" t="str">
            <v>Richmond Public Works Dept</v>
          </cell>
          <cell r="J882">
            <v>6</v>
          </cell>
          <cell r="K882">
            <v>5.4901500000000003E-4</v>
          </cell>
        </row>
        <row r="883">
          <cell r="F883" t="str">
            <v>Richmond Public Works Dept</v>
          </cell>
          <cell r="J883">
            <v>6</v>
          </cell>
          <cell r="K883">
            <v>3.2223619999999999E-3</v>
          </cell>
        </row>
        <row r="884">
          <cell r="F884" t="str">
            <v>Richmond Public Works Dept</v>
          </cell>
          <cell r="J884">
            <v>6</v>
          </cell>
          <cell r="K884">
            <v>4.6278639999999998E-3</v>
          </cell>
        </row>
        <row r="885">
          <cell r="F885" t="str">
            <v>Richmond Public Works Dept</v>
          </cell>
          <cell r="J885">
            <v>6</v>
          </cell>
          <cell r="K885">
            <v>5.1205230000000001E-3</v>
          </cell>
        </row>
        <row r="886">
          <cell r="F886" t="str">
            <v>Richmond Public Works Dept</v>
          </cell>
          <cell r="J886">
            <v>6</v>
          </cell>
          <cell r="K886">
            <v>3.1157399999999998E-2</v>
          </cell>
        </row>
        <row r="887">
          <cell r="F887" t="str">
            <v>Richmond Public Works Dept</v>
          </cell>
          <cell r="J887">
            <v>6</v>
          </cell>
          <cell r="K887">
            <v>5.9176970000000004E-4</v>
          </cell>
        </row>
        <row r="888">
          <cell r="F888" t="str">
            <v>Richmond Public Works Dept</v>
          </cell>
          <cell r="J888">
            <v>6</v>
          </cell>
          <cell r="K888">
            <v>1.1646860000000001E-3</v>
          </cell>
        </row>
        <row r="889">
          <cell r="F889" t="str">
            <v>Richmond Public Works Dept</v>
          </cell>
          <cell r="J889">
            <v>6</v>
          </cell>
          <cell r="K889">
            <v>1.737532E-3</v>
          </cell>
        </row>
        <row r="890">
          <cell r="F890" t="str">
            <v>Richmond Public Works Dept</v>
          </cell>
          <cell r="J890">
            <v>6</v>
          </cell>
          <cell r="K890">
            <v>2.4847900000000002E-3</v>
          </cell>
        </row>
        <row r="891">
          <cell r="F891" t="str">
            <v>Richmond Public Works Dept</v>
          </cell>
          <cell r="J891">
            <v>6</v>
          </cell>
          <cell r="K891">
            <v>3.2913909999999998E-3</v>
          </cell>
        </row>
        <row r="892">
          <cell r="F892" t="str">
            <v>Richmond Public Works Dept</v>
          </cell>
          <cell r="J892">
            <v>6</v>
          </cell>
          <cell r="K892">
            <v>3.7002609999999998E-3</v>
          </cell>
        </row>
        <row r="893">
          <cell r="F893" t="str">
            <v>Richmond Public Works Dept</v>
          </cell>
          <cell r="J893">
            <v>6</v>
          </cell>
          <cell r="K893">
            <v>2.4960799999999999E-3</v>
          </cell>
        </row>
        <row r="894">
          <cell r="F894" t="str">
            <v>Richmond Public Works Dept</v>
          </cell>
          <cell r="J894">
            <v>6</v>
          </cell>
          <cell r="K894">
            <v>2.608427E-3</v>
          </cell>
        </row>
        <row r="895">
          <cell r="F895" t="str">
            <v>Richmond Public Works Dept</v>
          </cell>
          <cell r="J895">
            <v>6</v>
          </cell>
          <cell r="K895">
            <v>3.5772180000000001E-3</v>
          </cell>
        </row>
        <row r="896">
          <cell r="F896" t="str">
            <v>Richmond Public Works Dept</v>
          </cell>
          <cell r="J896">
            <v>6</v>
          </cell>
          <cell r="K896">
            <v>3.5607170000000001E-3</v>
          </cell>
        </row>
        <row r="897">
          <cell r="F897" t="str">
            <v>Richmond Public Works Dept</v>
          </cell>
          <cell r="J897">
            <v>6</v>
          </cell>
          <cell r="K897">
            <v>3.067948E-3</v>
          </cell>
        </row>
        <row r="898">
          <cell r="F898" t="str">
            <v>Richmond Public Works Dept</v>
          </cell>
          <cell r="J898">
            <v>6</v>
          </cell>
          <cell r="K898">
            <v>1.7113129999999999E-3</v>
          </cell>
        </row>
        <row r="899">
          <cell r="F899" t="str">
            <v>Richmond Public Works Dept</v>
          </cell>
          <cell r="J899">
            <v>6</v>
          </cell>
          <cell r="K899">
            <v>1.9567830000000001E-3</v>
          </cell>
        </row>
        <row r="900">
          <cell r="F900" t="str">
            <v>Richmond Public Works Dept</v>
          </cell>
          <cell r="J900">
            <v>6</v>
          </cell>
          <cell r="K900">
            <v>2.5753709999999999E-3</v>
          </cell>
        </row>
        <row r="901">
          <cell r="F901" t="str">
            <v>Richmond Public Works Dept</v>
          </cell>
          <cell r="J901">
            <v>6</v>
          </cell>
          <cell r="K901">
            <v>7.5653199999999997E-4</v>
          </cell>
        </row>
        <row r="902">
          <cell r="F902" t="str">
            <v>Richmond Public Works Dept</v>
          </cell>
          <cell r="J902">
            <v>6</v>
          </cell>
          <cell r="K902">
            <v>2.4646329999999998E-4</v>
          </cell>
        </row>
        <row r="903">
          <cell r="F903" t="str">
            <v>Richmond Public Works Dept</v>
          </cell>
          <cell r="J903">
            <v>6</v>
          </cell>
          <cell r="K903">
            <v>2.0917259999999999E-3</v>
          </cell>
        </row>
        <row r="904">
          <cell r="F904" t="str">
            <v>Richmond Public Works Dept</v>
          </cell>
          <cell r="J904">
            <v>6</v>
          </cell>
          <cell r="K904">
            <v>5.1783709999999998E-4</v>
          </cell>
        </row>
        <row r="905">
          <cell r="F905" t="str">
            <v>Richmond Public Works Dept</v>
          </cell>
          <cell r="J905">
            <v>6</v>
          </cell>
          <cell r="K905">
            <v>2.8714000000000001E-3</v>
          </cell>
        </row>
        <row r="906">
          <cell r="F906" t="str">
            <v>Richmond Public Works Dept</v>
          </cell>
          <cell r="J906">
            <v>6</v>
          </cell>
          <cell r="K906">
            <v>6.2829119999999999E-3</v>
          </cell>
        </row>
        <row r="907">
          <cell r="F907" t="str">
            <v>Richmond Public Works Dept</v>
          </cell>
          <cell r="J907">
            <v>6</v>
          </cell>
          <cell r="K907">
            <v>3.2454139999999999E-3</v>
          </cell>
        </row>
        <row r="908">
          <cell r="F908" t="str">
            <v>Richmond Public Works Dept</v>
          </cell>
          <cell r="J908">
            <v>6</v>
          </cell>
          <cell r="K908">
            <v>3.3549819999999998E-3</v>
          </cell>
        </row>
        <row r="909">
          <cell r="F909" t="str">
            <v>Richmond Public Works Dept</v>
          </cell>
          <cell r="J909">
            <v>6</v>
          </cell>
          <cell r="K909">
            <v>3.1443109999999999E-3</v>
          </cell>
        </row>
        <row r="910">
          <cell r="F910" t="str">
            <v>Richmond Public Works Dept</v>
          </cell>
          <cell r="J910">
            <v>6</v>
          </cell>
          <cell r="K910">
            <v>5.6440349999999995E-4</v>
          </cell>
        </row>
        <row r="911">
          <cell r="F911" t="str">
            <v>Richmond Public Works Dept</v>
          </cell>
          <cell r="J911">
            <v>6</v>
          </cell>
          <cell r="K911">
            <v>9.1466550000000001E-3</v>
          </cell>
        </row>
        <row r="912">
          <cell r="F912" t="str">
            <v>Richmond Public Works Dept</v>
          </cell>
          <cell r="J912">
            <v>6</v>
          </cell>
          <cell r="K912">
            <v>2.34199E-3</v>
          </cell>
        </row>
        <row r="913">
          <cell r="F913" t="str">
            <v>Richmond Public Works Dept</v>
          </cell>
          <cell r="J913">
            <v>6</v>
          </cell>
          <cell r="K913">
            <v>2.0461530000000002E-3</v>
          </cell>
        </row>
        <row r="914">
          <cell r="F914" t="str">
            <v>Richmond Public Works Dept</v>
          </cell>
          <cell r="J914">
            <v>6</v>
          </cell>
          <cell r="K914">
            <v>1.776363E-3</v>
          </cell>
        </row>
        <row r="915">
          <cell r="F915" t="str">
            <v>Richmond Public Works Dept</v>
          </cell>
          <cell r="J915">
            <v>6</v>
          </cell>
          <cell r="K915">
            <v>1.5818850000000001E-3</v>
          </cell>
        </row>
        <row r="916">
          <cell r="F916" t="str">
            <v>Richmond Public Works Dept</v>
          </cell>
          <cell r="J916">
            <v>6</v>
          </cell>
          <cell r="K916">
            <v>1.3875929999999999E-3</v>
          </cell>
        </row>
        <row r="917">
          <cell r="F917" t="str">
            <v>Richmond Public Works Dept</v>
          </cell>
          <cell r="J917">
            <v>6</v>
          </cell>
          <cell r="K917">
            <v>1.25167E-2</v>
          </cell>
        </row>
        <row r="918">
          <cell r="F918" t="str">
            <v>Richmond Public Works Dept</v>
          </cell>
          <cell r="J918">
            <v>6</v>
          </cell>
          <cell r="K918">
            <v>1.1932519999999999E-3</v>
          </cell>
        </row>
        <row r="919">
          <cell r="F919" t="str">
            <v>Richmond Public Works Dept</v>
          </cell>
          <cell r="J919">
            <v>6</v>
          </cell>
          <cell r="K919">
            <v>9.9896009999999994E-4</v>
          </cell>
        </row>
        <row r="920">
          <cell r="F920" t="str">
            <v>Richmond Public Works Dept</v>
          </cell>
          <cell r="J920">
            <v>6</v>
          </cell>
          <cell r="K920">
            <v>3.1237919999999998E-3</v>
          </cell>
        </row>
        <row r="921">
          <cell r="F921" t="str">
            <v>Richmond Public Works Dept</v>
          </cell>
          <cell r="J921">
            <v>6</v>
          </cell>
          <cell r="K921">
            <v>4.9330299999999997E-3</v>
          </cell>
        </row>
        <row r="922">
          <cell r="F922" t="str">
            <v>Richmond Public Works Dept</v>
          </cell>
          <cell r="J922">
            <v>6</v>
          </cell>
          <cell r="K922">
            <v>7.376156E-3</v>
          </cell>
        </row>
        <row r="923">
          <cell r="F923" t="str">
            <v>Richmond Public Works Dept</v>
          </cell>
          <cell r="J923">
            <v>6</v>
          </cell>
          <cell r="K923">
            <v>2.21155E-2</v>
          </cell>
        </row>
        <row r="924">
          <cell r="F924" t="str">
            <v>Richmond Public Works Dept</v>
          </cell>
          <cell r="J924">
            <v>6</v>
          </cell>
          <cell r="K924">
            <v>7.4503809999999998E-3</v>
          </cell>
        </row>
        <row r="925">
          <cell r="F925" t="str">
            <v>Richmond Public Works Dept</v>
          </cell>
          <cell r="J925">
            <v>6</v>
          </cell>
          <cell r="K925">
            <v>3.6871109999999999E-2</v>
          </cell>
        </row>
        <row r="926">
          <cell r="F926" t="str">
            <v>Richmond Public Works Dept</v>
          </cell>
          <cell r="J926">
            <v>6</v>
          </cell>
          <cell r="K926">
            <v>7.3742219999999997E-3</v>
          </cell>
        </row>
        <row r="927">
          <cell r="F927" t="str">
            <v>Richmond Public Works Dept</v>
          </cell>
          <cell r="J927">
            <v>6</v>
          </cell>
          <cell r="K927">
            <v>6.8280930000000004E-3</v>
          </cell>
        </row>
        <row r="928">
          <cell r="F928" t="str">
            <v>Richmond Public Works Dept</v>
          </cell>
          <cell r="J928">
            <v>6</v>
          </cell>
          <cell r="K928">
            <v>7.5238560000000004E-4</v>
          </cell>
        </row>
        <row r="929">
          <cell r="F929" t="str">
            <v>Richmond Public Works Dept</v>
          </cell>
          <cell r="J929">
            <v>6</v>
          </cell>
          <cell r="K929">
            <v>7.5238560000000004E-4</v>
          </cell>
        </row>
        <row r="931">
          <cell r="K931">
            <v>9.9079154234520139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ownfield Summary"/>
      <sheetName val="Brownfields_shrt fields"/>
      <sheetName val="Brownfields_all fields"/>
      <sheetName val="Sheet1"/>
    </sheetNames>
    <sheetDataSet>
      <sheetData sheetId="0" refreshError="1"/>
      <sheetData sheetId="1">
        <row r="1">
          <cell r="AJ1" t="str">
            <v>STATUS</v>
          </cell>
          <cell r="AR1" t="str">
            <v>Rise</v>
          </cell>
          <cell r="AS1" t="str">
            <v>LLSLR</v>
          </cell>
          <cell r="AU1" t="str">
            <v>Calculated Acreage</v>
          </cell>
          <cell r="AV1" t="str">
            <v>Inundation Category</v>
          </cell>
        </row>
        <row r="2">
          <cell r="AJ2" t="str">
            <v>Certified O&amp;M - Land Use Restrictions Only</v>
          </cell>
          <cell r="AR2">
            <v>10</v>
          </cell>
          <cell r="AS2">
            <v>6</v>
          </cell>
          <cell r="AU2">
            <v>13.118685910973371</v>
          </cell>
          <cell r="AV2" t="str">
            <v>SLR Adjacent</v>
          </cell>
        </row>
        <row r="3">
          <cell r="AJ3" t="str">
            <v>Certified / Operation &amp; Maintenance</v>
          </cell>
          <cell r="AR3">
            <v>10</v>
          </cell>
          <cell r="AS3">
            <v>10</v>
          </cell>
          <cell r="AU3">
            <v>59.589897173094585</v>
          </cell>
          <cell r="AV3" t="str">
            <v>FZ no SLR</v>
          </cell>
        </row>
        <row r="4">
          <cell r="AJ4" t="str">
            <v>Certified O&amp;M - Land Use Restrictions Only</v>
          </cell>
          <cell r="AR4">
            <v>10</v>
          </cell>
          <cell r="AS4">
            <v>10</v>
          </cell>
          <cell r="AU4">
            <v>11.348212330027549</v>
          </cell>
          <cell r="AV4" t="str">
            <v>FZ no SLR</v>
          </cell>
        </row>
        <row r="5">
          <cell r="AJ5" t="str">
            <v>Certified O&amp;M - Land Use Restrictions Only</v>
          </cell>
          <cell r="AR5">
            <v>10</v>
          </cell>
          <cell r="AS5">
            <v>10</v>
          </cell>
          <cell r="AU5">
            <v>6.8720425673553711</v>
          </cell>
          <cell r="AV5" t="str">
            <v>FZ no SLR</v>
          </cell>
        </row>
        <row r="6">
          <cell r="AJ6" t="str">
            <v>Active</v>
          </cell>
          <cell r="AR6">
            <v>10</v>
          </cell>
          <cell r="AS6">
            <v>10</v>
          </cell>
          <cell r="AU6">
            <v>6.3374294909779616</v>
          </cell>
          <cell r="AV6" t="str">
            <v>FZ no SLR</v>
          </cell>
        </row>
        <row r="7">
          <cell r="AJ7" t="str">
            <v>Certified / Operation &amp; Maintenance</v>
          </cell>
          <cell r="AR7">
            <v>10</v>
          </cell>
          <cell r="AS7">
            <v>10</v>
          </cell>
          <cell r="AU7">
            <v>10.55292427144169</v>
          </cell>
          <cell r="AV7" t="str">
            <v>FZ no SLR</v>
          </cell>
        </row>
        <row r="8">
          <cell r="AJ8" t="str">
            <v>Certified O&amp;M - Land Use Restrictions Only</v>
          </cell>
          <cell r="AR8">
            <v>10</v>
          </cell>
          <cell r="AS8">
            <v>10</v>
          </cell>
          <cell r="AU8">
            <v>1.1235752229384757</v>
          </cell>
          <cell r="AV8" t="str">
            <v>FZ no SLR</v>
          </cell>
        </row>
        <row r="9">
          <cell r="AJ9" t="str">
            <v>Certified O&amp;M - Land Use Restrictions Only</v>
          </cell>
          <cell r="AR9">
            <v>6</v>
          </cell>
          <cell r="AS9">
            <v>5</v>
          </cell>
          <cell r="AU9">
            <v>2.7768837702020202</v>
          </cell>
          <cell r="AV9" t="str">
            <v>SLR not in FZ</v>
          </cell>
        </row>
        <row r="10">
          <cell r="AJ10" t="str">
            <v>Active</v>
          </cell>
          <cell r="AR10">
            <v>6</v>
          </cell>
          <cell r="AS10">
            <v>10</v>
          </cell>
          <cell r="AU10">
            <v>2.0869577608287417</v>
          </cell>
          <cell r="AV10" t="str">
            <v>SLR not in FZ</v>
          </cell>
        </row>
        <row r="11">
          <cell r="AJ11" t="str">
            <v>Active</v>
          </cell>
          <cell r="AR11">
            <v>6</v>
          </cell>
          <cell r="AS11">
            <v>10</v>
          </cell>
          <cell r="AU11">
            <v>0.23100412578741966</v>
          </cell>
          <cell r="AV11" t="str">
            <v>SLR not in FZ</v>
          </cell>
        </row>
        <row r="12">
          <cell r="AJ12" t="str">
            <v>Certified O&amp;M - Land Use Restrictions Only</v>
          </cell>
          <cell r="AR12">
            <v>6</v>
          </cell>
          <cell r="AS12">
            <v>10</v>
          </cell>
          <cell r="AU12">
            <v>3.4264254401056013</v>
          </cell>
          <cell r="AV12" t="str">
            <v>SLR not in FZ</v>
          </cell>
        </row>
        <row r="13">
          <cell r="AJ13" t="str">
            <v>Certified / Operation &amp; Maintenance</v>
          </cell>
          <cell r="AR13">
            <v>6</v>
          </cell>
          <cell r="AS13">
            <v>10</v>
          </cell>
          <cell r="AU13">
            <v>1.1483549504522497</v>
          </cell>
          <cell r="AV13" t="str">
            <v>SLR not in FZ</v>
          </cell>
        </row>
        <row r="14">
          <cell r="AJ14" t="str">
            <v>Active</v>
          </cell>
          <cell r="AR14">
            <v>5</v>
          </cell>
          <cell r="AS14">
            <v>4</v>
          </cell>
          <cell r="AU14">
            <v>9.6430354223370056</v>
          </cell>
          <cell r="AV14" t="str">
            <v>SLR not in FZ</v>
          </cell>
        </row>
        <row r="15">
          <cell r="AJ15" t="str">
            <v>Inactive - Action Required</v>
          </cell>
          <cell r="AR15">
            <v>5</v>
          </cell>
          <cell r="AS15">
            <v>4</v>
          </cell>
          <cell r="AU15">
            <v>30.068246983930212</v>
          </cell>
          <cell r="AV15" t="str">
            <v>FZ with SLR</v>
          </cell>
        </row>
        <row r="16">
          <cell r="AJ16" t="str">
            <v>Inactive - Action Required</v>
          </cell>
          <cell r="AR16">
            <v>5</v>
          </cell>
          <cell r="AS16">
            <v>4</v>
          </cell>
          <cell r="AU16">
            <v>54.719018285583104</v>
          </cell>
          <cell r="AV16" t="str">
            <v>FZ with SLR</v>
          </cell>
        </row>
        <row r="17">
          <cell r="AJ17" t="str">
            <v>Active</v>
          </cell>
          <cell r="AR17">
            <v>4</v>
          </cell>
          <cell r="AS17">
            <v>10</v>
          </cell>
          <cell r="AU17">
            <v>1.0228466327961432</v>
          </cell>
          <cell r="AV17" t="str">
            <v>SLR not in FZ</v>
          </cell>
        </row>
        <row r="18">
          <cell r="AJ18" t="str">
            <v>Certified O&amp;M - Land Use Restrictions Only</v>
          </cell>
          <cell r="AR18">
            <v>3</v>
          </cell>
          <cell r="AS18">
            <v>10</v>
          </cell>
          <cell r="AU18">
            <v>2.0370446557231405</v>
          </cell>
          <cell r="AV18" t="str">
            <v>SLR not in FZ</v>
          </cell>
        </row>
        <row r="19">
          <cell r="AJ19" t="str">
            <v>Certified / Operation &amp; Maintenance</v>
          </cell>
          <cell r="AR19">
            <v>3</v>
          </cell>
          <cell r="AS19">
            <v>10</v>
          </cell>
          <cell r="AU19">
            <v>2.024036160959596</v>
          </cell>
          <cell r="AV19" t="str">
            <v>SLR not in FZ</v>
          </cell>
        </row>
        <row r="20">
          <cell r="AJ20" t="str">
            <v>Active</v>
          </cell>
          <cell r="AR20">
            <v>3</v>
          </cell>
          <cell r="AS20">
            <v>10</v>
          </cell>
          <cell r="AU20">
            <v>13.452942091873279</v>
          </cell>
          <cell r="AV20" t="str">
            <v>FZ with SLR</v>
          </cell>
        </row>
        <row r="21">
          <cell r="AJ21" t="str">
            <v>Inactive - Action Required</v>
          </cell>
          <cell r="AR21">
            <v>1</v>
          </cell>
          <cell r="AS21">
            <v>6</v>
          </cell>
          <cell r="AU21">
            <v>39.142785411845729</v>
          </cell>
          <cell r="AV21" t="str">
            <v>FZ with SLR</v>
          </cell>
        </row>
        <row r="22">
          <cell r="AJ22" t="str">
            <v>Inactive - Action Required</v>
          </cell>
          <cell r="AR22">
            <v>1</v>
          </cell>
          <cell r="AS22">
            <v>10</v>
          </cell>
          <cell r="AU22">
            <v>310.26952170569331</v>
          </cell>
          <cell r="AV22" t="str">
            <v>FZ with SLR</v>
          </cell>
        </row>
        <row r="23">
          <cell r="AJ23" t="str">
            <v>Active</v>
          </cell>
          <cell r="AR23">
            <v>0</v>
          </cell>
          <cell r="AS23">
            <v>6</v>
          </cell>
          <cell r="AU23">
            <v>175.95058799954086</v>
          </cell>
          <cell r="AV23" t="str">
            <v>SLR not in FZ</v>
          </cell>
        </row>
        <row r="24">
          <cell r="AJ24" t="str">
            <v>Active</v>
          </cell>
          <cell r="AR24">
            <v>0</v>
          </cell>
          <cell r="AS24">
            <v>2</v>
          </cell>
          <cell r="AU24">
            <v>24.831396390725438</v>
          </cell>
          <cell r="AV24" t="str">
            <v>FZ with SLR</v>
          </cell>
        </row>
        <row r="25">
          <cell r="AJ25" t="str">
            <v>Active</v>
          </cell>
          <cell r="AR25">
            <v>0</v>
          </cell>
          <cell r="AS25">
            <v>2</v>
          </cell>
          <cell r="AU25">
            <v>300.36855714876037</v>
          </cell>
          <cell r="AV25" t="str">
            <v>FZ with SLR</v>
          </cell>
        </row>
        <row r="26">
          <cell r="AJ26" t="str">
            <v>Certified O&amp;M - Land Use Restrictions Only</v>
          </cell>
          <cell r="AR26">
            <v>0</v>
          </cell>
          <cell r="AS26">
            <v>3</v>
          </cell>
          <cell r="AU26">
            <v>49.658791896005511</v>
          </cell>
          <cell r="AV26" t="str">
            <v>FZ with SLR</v>
          </cell>
        </row>
        <row r="27">
          <cell r="AJ27" t="str">
            <v>Certified O&amp;M - Land Use Restrictions Only</v>
          </cell>
          <cell r="AR27">
            <v>0</v>
          </cell>
          <cell r="AS27">
            <v>10</v>
          </cell>
          <cell r="AU27">
            <v>6.9075792797291102</v>
          </cell>
          <cell r="AV27" t="str">
            <v>FZ with SLR</v>
          </cell>
        </row>
        <row r="28">
          <cell r="AJ28" t="str">
            <v>Certified / Operation &amp; Maintenance</v>
          </cell>
          <cell r="AR28">
            <v>0</v>
          </cell>
          <cell r="AS28">
            <v>10</v>
          </cell>
          <cell r="AU28">
            <v>168.89157050619835</v>
          </cell>
          <cell r="AV28" t="str">
            <v>FZ with SLR</v>
          </cell>
        </row>
        <row r="29">
          <cell r="AJ29" t="str">
            <v>Active</v>
          </cell>
          <cell r="AR29">
            <v>0</v>
          </cell>
          <cell r="AS29">
            <v>5</v>
          </cell>
          <cell r="AU29">
            <v>171.60281322910927</v>
          </cell>
          <cell r="AV29" t="str">
            <v>FZ with SLR</v>
          </cell>
        </row>
        <row r="30">
          <cell r="AJ30" t="str">
            <v>Active</v>
          </cell>
          <cell r="AR30">
            <v>0</v>
          </cell>
          <cell r="AS30">
            <v>10</v>
          </cell>
          <cell r="AU30">
            <v>70.516503583562908</v>
          </cell>
          <cell r="AV30" t="str">
            <v>FZ with SLR</v>
          </cell>
        </row>
        <row r="31">
          <cell r="AJ31" t="str">
            <v>Certified / Operation &amp; Maintenance</v>
          </cell>
          <cell r="AR31">
            <v>0</v>
          </cell>
          <cell r="AS31">
            <v>10</v>
          </cell>
          <cell r="AU31">
            <v>11.25549729701561</v>
          </cell>
          <cell r="AV31" t="str">
            <v>FZ with SLR</v>
          </cell>
        </row>
        <row r="32">
          <cell r="AJ32" t="str">
            <v>Active</v>
          </cell>
          <cell r="AR32">
            <v>0</v>
          </cell>
          <cell r="AS32">
            <v>10</v>
          </cell>
          <cell r="AU32">
            <v>94.323617238292016</v>
          </cell>
          <cell r="AV32" t="str">
            <v>FZ with SLR</v>
          </cell>
        </row>
        <row r="33">
          <cell r="AJ33" t="str">
            <v>Active</v>
          </cell>
          <cell r="AR33">
            <v>0</v>
          </cell>
          <cell r="AS33">
            <v>10</v>
          </cell>
          <cell r="AU33">
            <v>42.854587444903579</v>
          </cell>
          <cell r="AV33" t="str">
            <v>FZ with SLR</v>
          </cell>
        </row>
        <row r="34">
          <cell r="AJ34" t="str">
            <v>Active</v>
          </cell>
          <cell r="AR34">
            <v>0</v>
          </cell>
          <cell r="AS34">
            <v>10</v>
          </cell>
          <cell r="AU34">
            <v>42.854587444903579</v>
          </cell>
          <cell r="AV34" t="str">
            <v>FZ with SLR</v>
          </cell>
        </row>
        <row r="35">
          <cell r="AJ35" t="str">
            <v>Certified O&amp;M - Land Use Restrictions Only</v>
          </cell>
          <cell r="AR35">
            <v>0</v>
          </cell>
          <cell r="AS35">
            <v>10</v>
          </cell>
          <cell r="AU35">
            <v>68.511176651515157</v>
          </cell>
          <cell r="AV35" t="str">
            <v>FZ with SLR</v>
          </cell>
        </row>
        <row r="36">
          <cell r="AJ36" t="str">
            <v>Active</v>
          </cell>
          <cell r="AR36">
            <v>0</v>
          </cell>
          <cell r="AS36">
            <v>10</v>
          </cell>
          <cell r="AU36">
            <v>41.121760783287421</v>
          </cell>
          <cell r="AV36" t="str">
            <v>FZ with SLR</v>
          </cell>
        </row>
        <row r="37">
          <cell r="AJ37" t="str">
            <v>Active</v>
          </cell>
          <cell r="AR37">
            <v>0</v>
          </cell>
          <cell r="AS37">
            <v>10</v>
          </cell>
          <cell r="AU37">
            <v>106.06033344926539</v>
          </cell>
          <cell r="AV37" t="str">
            <v>FZ with SLR</v>
          </cell>
        </row>
        <row r="38">
          <cell r="AJ38" t="str">
            <v>Certified / Operation &amp; Maintenance</v>
          </cell>
          <cell r="AR38">
            <v>0</v>
          </cell>
          <cell r="AS38">
            <v>10</v>
          </cell>
          <cell r="AU38">
            <v>8.0951850006657473</v>
          </cell>
          <cell r="AV38" t="str">
            <v>FZ with SLR</v>
          </cell>
        </row>
        <row r="39">
          <cell r="AJ39" t="str">
            <v>Certified O&amp;M - Land Use Restrictions Only</v>
          </cell>
          <cell r="AR39">
            <v>0</v>
          </cell>
          <cell r="AS39">
            <v>10</v>
          </cell>
          <cell r="AU39">
            <v>11.963268940932048</v>
          </cell>
          <cell r="AV39" t="str">
            <v>FZ with SLR</v>
          </cell>
        </row>
        <row r="40">
          <cell r="AJ40" t="str">
            <v>Active</v>
          </cell>
          <cell r="AR40">
            <v>0</v>
          </cell>
          <cell r="AS40">
            <v>10</v>
          </cell>
          <cell r="AU40">
            <v>21.847585503443526</v>
          </cell>
          <cell r="AV40" t="str">
            <v>FZ with SLR</v>
          </cell>
        </row>
        <row r="41">
          <cell r="AU41">
            <v>1998.6072701527823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rcial Summary"/>
      <sheetName val="Commercial_shrt fields"/>
      <sheetName val="Commercial_all fields"/>
      <sheetName val="mobile or motel"/>
      <sheetName val="Sheet1"/>
      <sheetName val="Sheet2"/>
    </sheetNames>
    <sheetDataSet>
      <sheetData sheetId="0" refreshError="1"/>
      <sheetData sheetId="1">
        <row r="1">
          <cell r="V1" t="str">
            <v>USEDESC</v>
          </cell>
          <cell r="AC1" t="str">
            <v>Rise</v>
          </cell>
          <cell r="AD1" t="str">
            <v>LLSLR</v>
          </cell>
          <cell r="AF1" t="str">
            <v>Acreage Calc</v>
          </cell>
          <cell r="AG1" t="str">
            <v>Inundation Category</v>
          </cell>
        </row>
        <row r="2">
          <cell r="V2" t="str">
            <v>Auto repair</v>
          </cell>
          <cell r="AC2">
            <v>10</v>
          </cell>
          <cell r="AD2">
            <v>10</v>
          </cell>
          <cell r="AF2">
            <v>5.8006446747704317</v>
          </cell>
          <cell r="AG2" t="str">
            <v>FZ no SLR</v>
          </cell>
        </row>
        <row r="3">
          <cell r="V3" t="str">
            <v>Auto repair</v>
          </cell>
          <cell r="AC3">
            <v>10</v>
          </cell>
          <cell r="AD3">
            <v>10</v>
          </cell>
          <cell r="AF3">
            <v>0.11210488665977961</v>
          </cell>
          <cell r="AG3" t="str">
            <v>FZ no SLR</v>
          </cell>
        </row>
        <row r="4">
          <cell r="V4" t="str">
            <v>Auto repair</v>
          </cell>
          <cell r="AC4">
            <v>10</v>
          </cell>
          <cell r="AD4">
            <v>10</v>
          </cell>
          <cell r="AF4">
            <v>0.55842685544995407</v>
          </cell>
          <cell r="AG4" t="str">
            <v>FZ no SLR</v>
          </cell>
        </row>
        <row r="5">
          <cell r="V5" t="str">
            <v>Auto repair</v>
          </cell>
          <cell r="AC5">
            <v>10</v>
          </cell>
          <cell r="AD5">
            <v>10</v>
          </cell>
          <cell r="AF5">
            <v>8.0164911896464644E-2</v>
          </cell>
          <cell r="AG5" t="str">
            <v>FZ no SLR</v>
          </cell>
        </row>
        <row r="6">
          <cell r="V6" t="str">
            <v>Auto repair</v>
          </cell>
          <cell r="AC6">
            <v>10</v>
          </cell>
          <cell r="AD6">
            <v>10</v>
          </cell>
          <cell r="AF6">
            <v>3.6245575892791551E-2</v>
          </cell>
          <cell r="AG6" t="str">
            <v>FZ no SLR</v>
          </cell>
        </row>
        <row r="7">
          <cell r="V7" t="str">
            <v>Auto repair</v>
          </cell>
          <cell r="AC7">
            <v>10</v>
          </cell>
          <cell r="AD7">
            <v>10</v>
          </cell>
          <cell r="AF7">
            <v>0.11292785495362719</v>
          </cell>
          <cell r="AG7" t="str">
            <v>FZ no SLR</v>
          </cell>
        </row>
        <row r="8">
          <cell r="V8" t="str">
            <v>Auto repair</v>
          </cell>
          <cell r="AC8">
            <v>10</v>
          </cell>
          <cell r="AD8">
            <v>10</v>
          </cell>
          <cell r="AF8">
            <v>0.23081586234848483</v>
          </cell>
          <cell r="AG8" t="str">
            <v>FZ no SLR</v>
          </cell>
        </row>
        <row r="9">
          <cell r="V9" t="str">
            <v>Auto repair</v>
          </cell>
          <cell r="AC9">
            <v>10</v>
          </cell>
          <cell r="AD9">
            <v>10</v>
          </cell>
          <cell r="AF9">
            <v>0.12112225503971533</v>
          </cell>
          <cell r="AG9" t="str">
            <v>FZ no SLR</v>
          </cell>
        </row>
        <row r="10">
          <cell r="V10" t="str">
            <v>Auto repair</v>
          </cell>
          <cell r="AC10">
            <v>10</v>
          </cell>
          <cell r="AD10">
            <v>10</v>
          </cell>
          <cell r="AF10">
            <v>0.22885512306427916</v>
          </cell>
          <cell r="AG10" t="str">
            <v>FZ no SLR</v>
          </cell>
        </row>
        <row r="11">
          <cell r="V11" t="str">
            <v>Auto repair</v>
          </cell>
          <cell r="AC11">
            <v>10</v>
          </cell>
          <cell r="AD11">
            <v>10</v>
          </cell>
          <cell r="AF11">
            <v>0.17320007189164371</v>
          </cell>
          <cell r="AG11" t="str">
            <v>FZ no SLR</v>
          </cell>
        </row>
        <row r="12">
          <cell r="V12" t="str">
            <v>Auto repair</v>
          </cell>
          <cell r="AC12">
            <v>10</v>
          </cell>
          <cell r="AD12">
            <v>10</v>
          </cell>
          <cell r="AF12">
            <v>0.18425161621349861</v>
          </cell>
          <cell r="AG12" t="str">
            <v>FZ no SLR</v>
          </cell>
        </row>
        <row r="13">
          <cell r="V13" t="str">
            <v>Auto repair</v>
          </cell>
          <cell r="AC13">
            <v>10</v>
          </cell>
          <cell r="AD13">
            <v>10</v>
          </cell>
          <cell r="AF13">
            <v>5.5732505351469237E-2</v>
          </cell>
          <cell r="AG13" t="str">
            <v>FZ no SLR</v>
          </cell>
        </row>
        <row r="14">
          <cell r="V14" t="str">
            <v>Auto repair</v>
          </cell>
          <cell r="AC14">
            <v>10</v>
          </cell>
          <cell r="AD14">
            <v>10</v>
          </cell>
          <cell r="AF14">
            <v>0.23012152866161617</v>
          </cell>
          <cell r="AG14" t="str">
            <v>FZ no SLR</v>
          </cell>
        </row>
        <row r="15">
          <cell r="V15" t="str">
            <v>Auto repair</v>
          </cell>
          <cell r="AC15">
            <v>10</v>
          </cell>
          <cell r="AD15">
            <v>10</v>
          </cell>
          <cell r="AF15">
            <v>0.22796447901675848</v>
          </cell>
          <cell r="AG15" t="str">
            <v>FZ no SLR</v>
          </cell>
        </row>
        <row r="16">
          <cell r="V16" t="str">
            <v>Auto repair</v>
          </cell>
          <cell r="AC16">
            <v>10</v>
          </cell>
          <cell r="AD16">
            <v>10</v>
          </cell>
          <cell r="AF16">
            <v>0.22543798123806244</v>
          </cell>
          <cell r="AG16" t="str">
            <v>FZ no SLR</v>
          </cell>
        </row>
        <row r="17">
          <cell r="V17" t="str">
            <v>Auto repair</v>
          </cell>
          <cell r="AC17">
            <v>10</v>
          </cell>
          <cell r="AD17">
            <v>10</v>
          </cell>
          <cell r="AF17">
            <v>0.22361372790909093</v>
          </cell>
          <cell r="AG17" t="str">
            <v>FZ no SLR</v>
          </cell>
        </row>
        <row r="18">
          <cell r="V18" t="str">
            <v>Auto repair</v>
          </cell>
          <cell r="AC18">
            <v>10</v>
          </cell>
          <cell r="AD18">
            <v>10</v>
          </cell>
          <cell r="AF18">
            <v>3.3151935321854915</v>
          </cell>
          <cell r="AG18" t="str">
            <v>FZ no SLR</v>
          </cell>
        </row>
        <row r="19">
          <cell r="V19" t="str">
            <v>Auto repair</v>
          </cell>
          <cell r="AC19">
            <v>10</v>
          </cell>
          <cell r="AD19">
            <v>10</v>
          </cell>
          <cell r="AF19">
            <v>0.38105386894168963</v>
          </cell>
          <cell r="AG19" t="str">
            <v>FZ no SLR</v>
          </cell>
        </row>
        <row r="20">
          <cell r="V20" t="str">
            <v>Commercial stores (not supermarkets)</v>
          </cell>
          <cell r="AC20">
            <v>10</v>
          </cell>
          <cell r="AD20">
            <v>10</v>
          </cell>
          <cell r="AF20">
            <v>0.14678187633310377</v>
          </cell>
          <cell r="AG20" t="str">
            <v>FZ no SLR</v>
          </cell>
        </row>
        <row r="21">
          <cell r="V21" t="str">
            <v>Commercial stores (not supermarkets)</v>
          </cell>
          <cell r="AC21">
            <v>10</v>
          </cell>
          <cell r="AD21">
            <v>10</v>
          </cell>
          <cell r="AF21">
            <v>0.21270545978282826</v>
          </cell>
          <cell r="AG21" t="str">
            <v>FZ no SLR</v>
          </cell>
        </row>
        <row r="22">
          <cell r="V22" t="str">
            <v>Commercial stores (not supermarkets)</v>
          </cell>
          <cell r="AC22">
            <v>10</v>
          </cell>
          <cell r="AD22">
            <v>10</v>
          </cell>
          <cell r="AF22">
            <v>5.1237741616161614</v>
          </cell>
          <cell r="AG22" t="str">
            <v>FZ no SLR</v>
          </cell>
        </row>
        <row r="23">
          <cell r="V23" t="str">
            <v>Commercial stores (not supermarkets)</v>
          </cell>
          <cell r="AC23">
            <v>10</v>
          </cell>
          <cell r="AD23">
            <v>10</v>
          </cell>
          <cell r="AF23">
            <v>0.21879555528489439</v>
          </cell>
          <cell r="AG23" t="str">
            <v>FZ no SLR</v>
          </cell>
        </row>
        <row r="24">
          <cell r="V24" t="str">
            <v>Commercial stores (not supermarkets)</v>
          </cell>
          <cell r="AC24">
            <v>10</v>
          </cell>
          <cell r="AD24">
            <v>10</v>
          </cell>
          <cell r="AF24">
            <v>0.17173941202846649</v>
          </cell>
          <cell r="AG24" t="str">
            <v>FZ no SLR</v>
          </cell>
        </row>
        <row r="25">
          <cell r="V25" t="str">
            <v>Commercial stores (not supermarkets)</v>
          </cell>
          <cell r="AC25">
            <v>10</v>
          </cell>
          <cell r="AD25">
            <v>10</v>
          </cell>
          <cell r="AF25">
            <v>0.17640000156910007</v>
          </cell>
          <cell r="AG25" t="str">
            <v>FZ no SLR</v>
          </cell>
        </row>
        <row r="26">
          <cell r="V26" t="str">
            <v>Commercial stores (not supermarkets)</v>
          </cell>
          <cell r="AC26">
            <v>10</v>
          </cell>
          <cell r="AD26">
            <v>10</v>
          </cell>
          <cell r="AF26">
            <v>9.4947204309917349E-2</v>
          </cell>
          <cell r="AG26" t="str">
            <v>FZ no SLR</v>
          </cell>
        </row>
        <row r="27">
          <cell r="V27" t="str">
            <v>Commercial stores (not supermarkets)</v>
          </cell>
          <cell r="AC27">
            <v>10</v>
          </cell>
          <cell r="AD27">
            <v>10</v>
          </cell>
          <cell r="AF27">
            <v>0.13079744878053259</v>
          </cell>
          <cell r="AG27" t="str">
            <v>FZ no SLR</v>
          </cell>
        </row>
        <row r="28">
          <cell r="V28" t="str">
            <v>Commercial stores (not supermarkets)</v>
          </cell>
          <cell r="AC28">
            <v>10</v>
          </cell>
          <cell r="AD28">
            <v>10</v>
          </cell>
          <cell r="AF28">
            <v>0.11563719432483931</v>
          </cell>
          <cell r="AG28" t="str">
            <v>FZ no SLR</v>
          </cell>
        </row>
        <row r="29">
          <cell r="V29" t="str">
            <v>Commercial stores (not supermarkets)</v>
          </cell>
          <cell r="AC29">
            <v>10</v>
          </cell>
          <cell r="AD29">
            <v>10</v>
          </cell>
          <cell r="AF29">
            <v>0.19376554404568411</v>
          </cell>
          <cell r="AG29" t="str">
            <v>FZ no SLR</v>
          </cell>
        </row>
        <row r="30">
          <cell r="V30" t="str">
            <v>Commercial stores (not supermarkets)</v>
          </cell>
          <cell r="AC30">
            <v>10</v>
          </cell>
          <cell r="AD30">
            <v>10</v>
          </cell>
          <cell r="AF30">
            <v>6.9344354912534434E-2</v>
          </cell>
          <cell r="AG30" t="str">
            <v>FZ no SLR</v>
          </cell>
        </row>
        <row r="31">
          <cell r="V31" t="str">
            <v>Commercial stores (not supermarkets)</v>
          </cell>
          <cell r="AC31">
            <v>10</v>
          </cell>
          <cell r="AD31">
            <v>10</v>
          </cell>
          <cell r="AF31">
            <v>0.115434793510101</v>
          </cell>
          <cell r="AG31" t="str">
            <v>FZ no SLR</v>
          </cell>
        </row>
        <row r="32">
          <cell r="V32" t="str">
            <v>Commercial stores (not supermarkets)</v>
          </cell>
          <cell r="AC32">
            <v>10</v>
          </cell>
          <cell r="AD32">
            <v>10</v>
          </cell>
          <cell r="AF32">
            <v>5.5900658823691454E-2</v>
          </cell>
          <cell r="AG32" t="str">
            <v>FZ no SLR</v>
          </cell>
        </row>
        <row r="33">
          <cell r="V33" t="str">
            <v>Commercial stores (not supermarkets)</v>
          </cell>
          <cell r="AC33">
            <v>10</v>
          </cell>
          <cell r="AD33">
            <v>10</v>
          </cell>
          <cell r="AF33">
            <v>0.41416975141414142</v>
          </cell>
          <cell r="AG33" t="str">
            <v>FZ no SLR</v>
          </cell>
        </row>
        <row r="34">
          <cell r="V34" t="str">
            <v>Commercial stores (not supermarkets)</v>
          </cell>
          <cell r="AC34">
            <v>10</v>
          </cell>
          <cell r="AD34">
            <v>10</v>
          </cell>
          <cell r="AF34">
            <v>0.91130600910927462</v>
          </cell>
          <cell r="AG34" t="str">
            <v>FZ no SLR</v>
          </cell>
        </row>
        <row r="35">
          <cell r="V35" t="str">
            <v>Commercial stores (not supermarkets)</v>
          </cell>
          <cell r="AC35">
            <v>10</v>
          </cell>
          <cell r="AD35">
            <v>10</v>
          </cell>
          <cell r="AF35">
            <v>0.18221813016988062</v>
          </cell>
          <cell r="AG35" t="str">
            <v>FZ no SLR</v>
          </cell>
        </row>
        <row r="36">
          <cell r="V36" t="str">
            <v>Commercial stores (not supermarkets)</v>
          </cell>
          <cell r="AC36">
            <v>10</v>
          </cell>
          <cell r="AD36">
            <v>10</v>
          </cell>
          <cell r="AF36">
            <v>0.12700904668962351</v>
          </cell>
          <cell r="AG36" t="str">
            <v>FZ no SLR</v>
          </cell>
        </row>
        <row r="37">
          <cell r="V37" t="str">
            <v>Commercial stores (not supermarkets)</v>
          </cell>
          <cell r="AC37">
            <v>10</v>
          </cell>
          <cell r="AD37">
            <v>10</v>
          </cell>
          <cell r="AF37">
            <v>0.17307859815036733</v>
          </cell>
          <cell r="AG37" t="str">
            <v>FZ no SLR</v>
          </cell>
        </row>
        <row r="38">
          <cell r="V38" t="str">
            <v>Commercial stores (not supermarkets)</v>
          </cell>
          <cell r="AC38">
            <v>10</v>
          </cell>
          <cell r="AD38">
            <v>10</v>
          </cell>
          <cell r="AF38">
            <v>0.10642393236134068</v>
          </cell>
          <cell r="AG38" t="str">
            <v>FZ no SLR</v>
          </cell>
        </row>
        <row r="39">
          <cell r="V39" t="str">
            <v>Commercial stores (not supermarkets)</v>
          </cell>
          <cell r="AC39">
            <v>10</v>
          </cell>
          <cell r="AD39">
            <v>10</v>
          </cell>
          <cell r="AF39">
            <v>7.45528915516529E-2</v>
          </cell>
          <cell r="AG39" t="str">
            <v>FZ no SLR</v>
          </cell>
        </row>
        <row r="40">
          <cell r="V40" t="str">
            <v>Commercial stores (not supermarkets)</v>
          </cell>
          <cell r="AC40">
            <v>10</v>
          </cell>
          <cell r="AD40">
            <v>10</v>
          </cell>
          <cell r="AF40">
            <v>0.23245394189853077</v>
          </cell>
          <cell r="AG40" t="str">
            <v>FZ no SLR</v>
          </cell>
        </row>
        <row r="41">
          <cell r="V41" t="str">
            <v>Commercial stores (not supermarkets)</v>
          </cell>
          <cell r="AC41">
            <v>10</v>
          </cell>
          <cell r="AD41">
            <v>10</v>
          </cell>
          <cell r="AF41">
            <v>6.1605700013314967E-2</v>
          </cell>
          <cell r="AG41" t="str">
            <v>FZ no SLR</v>
          </cell>
        </row>
        <row r="42">
          <cell r="V42" t="str">
            <v>Commercial stores (not supermarkets)</v>
          </cell>
          <cell r="AC42">
            <v>10</v>
          </cell>
          <cell r="AD42">
            <v>10</v>
          </cell>
          <cell r="AF42">
            <v>0.18935005671877869</v>
          </cell>
          <cell r="AG42" t="str">
            <v>FZ no SLR</v>
          </cell>
        </row>
        <row r="43">
          <cell r="V43" t="str">
            <v>Commercial stores (not supermarkets)</v>
          </cell>
          <cell r="AC43">
            <v>10</v>
          </cell>
          <cell r="AD43">
            <v>10</v>
          </cell>
          <cell r="AF43">
            <v>0.12675645322566573</v>
          </cell>
          <cell r="AG43" t="str">
            <v>FZ no SLR</v>
          </cell>
        </row>
        <row r="44">
          <cell r="V44" t="str">
            <v>Commercial stores (not supermarkets)</v>
          </cell>
          <cell r="AC44">
            <v>10</v>
          </cell>
          <cell r="AD44">
            <v>10</v>
          </cell>
          <cell r="AF44">
            <v>5.3129668255739206E-2</v>
          </cell>
          <cell r="AG44" t="str">
            <v>FZ no SLR</v>
          </cell>
        </row>
        <row r="45">
          <cell r="V45" t="str">
            <v>Commercial stores (not supermarkets)</v>
          </cell>
          <cell r="AC45">
            <v>10</v>
          </cell>
          <cell r="AD45">
            <v>10</v>
          </cell>
          <cell r="AF45">
            <v>7.7582940707070711E-2</v>
          </cell>
          <cell r="AG45" t="str">
            <v>FZ no SLR</v>
          </cell>
        </row>
        <row r="46">
          <cell r="V46" t="str">
            <v>Commercial stores (not supermarkets)</v>
          </cell>
          <cell r="AC46">
            <v>10</v>
          </cell>
          <cell r="AD46">
            <v>10</v>
          </cell>
          <cell r="AF46">
            <v>1.9617076145202021E-2</v>
          </cell>
          <cell r="AG46" t="str">
            <v>FZ no SLR</v>
          </cell>
        </row>
        <row r="47">
          <cell r="V47" t="str">
            <v>Commercial stores (not supermarkets)</v>
          </cell>
          <cell r="AC47">
            <v>10</v>
          </cell>
          <cell r="AD47">
            <v>10</v>
          </cell>
          <cell r="AF47">
            <v>6.6870605074380168E-2</v>
          </cell>
          <cell r="AG47" t="str">
            <v>FZ no SLR</v>
          </cell>
        </row>
        <row r="48">
          <cell r="V48" t="str">
            <v>Commercial stores (not supermarkets)</v>
          </cell>
          <cell r="AC48">
            <v>10</v>
          </cell>
          <cell r="AD48">
            <v>10</v>
          </cell>
          <cell r="AF48">
            <v>3.8501053723140492E-2</v>
          </cell>
          <cell r="AG48" t="str">
            <v>FZ no SLR</v>
          </cell>
        </row>
        <row r="49">
          <cell r="V49" t="str">
            <v>Commercial stores (not supermarkets)</v>
          </cell>
          <cell r="AC49">
            <v>10</v>
          </cell>
          <cell r="AD49">
            <v>10</v>
          </cell>
          <cell r="AF49">
            <v>5.789708827731864E-2</v>
          </cell>
          <cell r="AG49" t="str">
            <v>FZ no SLR</v>
          </cell>
        </row>
        <row r="50">
          <cell r="V50" t="str">
            <v>Commercial stores (not supermarkets)</v>
          </cell>
          <cell r="AC50">
            <v>10</v>
          </cell>
          <cell r="AD50">
            <v>10</v>
          </cell>
          <cell r="AF50">
            <v>6.3854621679292928E-2</v>
          </cell>
          <cell r="AG50" t="str">
            <v>FZ no SLR</v>
          </cell>
        </row>
        <row r="51">
          <cell r="V51" t="str">
            <v>Commercial stores (not supermarkets)</v>
          </cell>
          <cell r="AC51">
            <v>10</v>
          </cell>
          <cell r="AD51">
            <v>10</v>
          </cell>
          <cell r="AF51">
            <v>0.1181853653640955</v>
          </cell>
          <cell r="AG51" t="str">
            <v>FZ no SLR</v>
          </cell>
        </row>
        <row r="52">
          <cell r="V52" t="str">
            <v>Commercial stores (not supermarkets)</v>
          </cell>
          <cell r="AC52">
            <v>10</v>
          </cell>
          <cell r="AD52">
            <v>10</v>
          </cell>
          <cell r="AF52">
            <v>5.3424184537190084E-2</v>
          </cell>
          <cell r="AG52" t="str">
            <v>FZ no SLR</v>
          </cell>
        </row>
        <row r="53">
          <cell r="V53" t="str">
            <v>Commercial stores (not supermarkets)</v>
          </cell>
          <cell r="AC53">
            <v>10</v>
          </cell>
          <cell r="AD53">
            <v>10</v>
          </cell>
          <cell r="AF53">
            <v>0.12617287113200185</v>
          </cell>
          <cell r="AG53" t="str">
            <v>FZ no SLR</v>
          </cell>
        </row>
        <row r="54">
          <cell r="V54" t="str">
            <v>Commercial stores (not supermarkets)</v>
          </cell>
          <cell r="AC54">
            <v>10</v>
          </cell>
          <cell r="AD54">
            <v>10</v>
          </cell>
          <cell r="AF54">
            <v>0.11769023606060605</v>
          </cell>
          <cell r="AG54" t="str">
            <v>FZ no SLR</v>
          </cell>
        </row>
        <row r="55">
          <cell r="V55" t="str">
            <v>Commercial stores (not supermarkets)</v>
          </cell>
          <cell r="AC55">
            <v>10</v>
          </cell>
          <cell r="AD55">
            <v>10</v>
          </cell>
          <cell r="AF55">
            <v>4.9237635530073466E-2</v>
          </cell>
          <cell r="AG55" t="str">
            <v>FZ no SLR</v>
          </cell>
        </row>
        <row r="56">
          <cell r="V56" t="str">
            <v>Commercial stores (not supermarkets)</v>
          </cell>
          <cell r="AC56">
            <v>10</v>
          </cell>
          <cell r="AD56">
            <v>10</v>
          </cell>
          <cell r="AF56">
            <v>7.9770109868457298E-2</v>
          </cell>
          <cell r="AG56" t="str">
            <v>FZ no SLR</v>
          </cell>
        </row>
        <row r="57">
          <cell r="V57" t="str">
            <v>Commercial stores (not supermarkets)</v>
          </cell>
          <cell r="AC57">
            <v>10</v>
          </cell>
          <cell r="AD57">
            <v>10</v>
          </cell>
          <cell r="AF57">
            <v>8.924739748829201E-2</v>
          </cell>
          <cell r="AG57" t="str">
            <v>FZ no SLR</v>
          </cell>
        </row>
        <row r="58">
          <cell r="V58" t="str">
            <v>Commercial stores (not supermarkets)</v>
          </cell>
          <cell r="AC58">
            <v>10</v>
          </cell>
          <cell r="AD58">
            <v>10</v>
          </cell>
          <cell r="AF58">
            <v>0.33605091276400367</v>
          </cell>
          <cell r="AG58" t="str">
            <v>FZ no SLR</v>
          </cell>
        </row>
        <row r="59">
          <cell r="V59" t="str">
            <v>Commercial stores (not supermarkets)</v>
          </cell>
          <cell r="AC59">
            <v>10</v>
          </cell>
          <cell r="AD59">
            <v>10</v>
          </cell>
          <cell r="AF59">
            <v>0.16842934395041323</v>
          </cell>
          <cell r="AG59" t="str">
            <v>FZ no SLR</v>
          </cell>
        </row>
        <row r="60">
          <cell r="V60" t="str">
            <v>Commercial stores (not supermarkets)</v>
          </cell>
          <cell r="AC60">
            <v>10</v>
          </cell>
          <cell r="AD60">
            <v>10</v>
          </cell>
          <cell r="AF60">
            <v>8.2798294791551888E-2</v>
          </cell>
          <cell r="AG60" t="str">
            <v>FZ no SLR</v>
          </cell>
        </row>
        <row r="61">
          <cell r="V61" t="str">
            <v>Commercial stores (not supermarkets)</v>
          </cell>
          <cell r="AC61">
            <v>10</v>
          </cell>
          <cell r="AD61">
            <v>10</v>
          </cell>
          <cell r="AF61">
            <v>7.9456615789715329E-2</v>
          </cell>
          <cell r="AG61" t="str">
            <v>FZ no SLR</v>
          </cell>
        </row>
        <row r="62">
          <cell r="V62" t="str">
            <v>Commercial stores (not supermarkets)</v>
          </cell>
          <cell r="AC62">
            <v>10</v>
          </cell>
          <cell r="AD62">
            <v>10</v>
          </cell>
          <cell r="AF62">
            <v>0.13726159261317725</v>
          </cell>
          <cell r="AG62" t="str">
            <v>FZ no SLR</v>
          </cell>
        </row>
        <row r="63">
          <cell r="V63" t="str">
            <v>Commercial stores (not supermarkets)</v>
          </cell>
          <cell r="AC63">
            <v>10</v>
          </cell>
          <cell r="AD63">
            <v>10</v>
          </cell>
          <cell r="AF63">
            <v>0.23043519029614326</v>
          </cell>
          <cell r="AG63" t="str">
            <v>FZ no SLR</v>
          </cell>
        </row>
        <row r="64">
          <cell r="V64" t="str">
            <v>Commercial stores (not supermarkets)</v>
          </cell>
          <cell r="AC64">
            <v>10</v>
          </cell>
          <cell r="AD64">
            <v>10</v>
          </cell>
          <cell r="AF64">
            <v>0.21049389515909092</v>
          </cell>
          <cell r="AG64" t="str">
            <v>FZ no SLR</v>
          </cell>
        </row>
        <row r="65">
          <cell r="V65" t="str">
            <v>Commercial stores (not supermarkets)</v>
          </cell>
          <cell r="AC65">
            <v>10</v>
          </cell>
          <cell r="AD65">
            <v>10</v>
          </cell>
          <cell r="AF65">
            <v>0.11185347732024795</v>
          </cell>
          <cell r="AG65" t="str">
            <v>FZ no SLR</v>
          </cell>
        </row>
        <row r="66">
          <cell r="V66" t="str">
            <v>Commercial stores (not supermarkets)</v>
          </cell>
          <cell r="AC66">
            <v>10</v>
          </cell>
          <cell r="AD66">
            <v>10</v>
          </cell>
          <cell r="AF66">
            <v>0.11336483536225896</v>
          </cell>
          <cell r="AG66" t="str">
            <v>FZ no SLR</v>
          </cell>
        </row>
        <row r="67">
          <cell r="V67" t="str">
            <v>Commercial stores (not supermarkets)</v>
          </cell>
          <cell r="AC67">
            <v>10</v>
          </cell>
          <cell r="AD67">
            <v>10</v>
          </cell>
          <cell r="AF67">
            <v>0.11814858692561983</v>
          </cell>
          <cell r="AG67" t="str">
            <v>FZ no SLR</v>
          </cell>
        </row>
        <row r="68">
          <cell r="V68" t="str">
            <v>Commercial stores (not supermarkets)</v>
          </cell>
          <cell r="AC68">
            <v>10</v>
          </cell>
          <cell r="AD68">
            <v>10</v>
          </cell>
          <cell r="AF68">
            <v>0.10554260054315885</v>
          </cell>
          <cell r="AG68" t="str">
            <v>FZ no SLR</v>
          </cell>
        </row>
        <row r="69">
          <cell r="V69" t="str">
            <v>Commercial stores (not supermarkets)</v>
          </cell>
          <cell r="AC69">
            <v>10</v>
          </cell>
          <cell r="AD69">
            <v>10</v>
          </cell>
          <cell r="AF69">
            <v>7.5455271506198351E-2</v>
          </cell>
          <cell r="AG69" t="str">
            <v>FZ no SLR</v>
          </cell>
        </row>
        <row r="70">
          <cell r="V70" t="str">
            <v>Commercial stores (not supermarkets)</v>
          </cell>
          <cell r="AC70">
            <v>10</v>
          </cell>
          <cell r="AD70">
            <v>10</v>
          </cell>
          <cell r="AF70">
            <v>0.19982459128902663</v>
          </cell>
          <cell r="AG70" t="str">
            <v>FZ no SLR</v>
          </cell>
        </row>
        <row r="71">
          <cell r="V71" t="str">
            <v>Commercial stores (not supermarkets)</v>
          </cell>
          <cell r="AC71">
            <v>10</v>
          </cell>
          <cell r="AD71">
            <v>10</v>
          </cell>
          <cell r="AF71">
            <v>5.3695836098484842E-2</v>
          </cell>
          <cell r="AG71" t="str">
            <v>FZ no SLR</v>
          </cell>
        </row>
        <row r="72">
          <cell r="V72" t="str">
            <v>Commercial stores (not supermarkets)</v>
          </cell>
          <cell r="AC72">
            <v>10</v>
          </cell>
          <cell r="AD72">
            <v>10</v>
          </cell>
          <cell r="AF72">
            <v>6.9200079692837466E-2</v>
          </cell>
          <cell r="AG72" t="str">
            <v>FZ no SLR</v>
          </cell>
        </row>
        <row r="73">
          <cell r="V73" t="str">
            <v>Commercial stores (not supermarkets)</v>
          </cell>
          <cell r="AC73">
            <v>10</v>
          </cell>
          <cell r="AD73">
            <v>10</v>
          </cell>
          <cell r="AF73">
            <v>5.5783708014233241E-2</v>
          </cell>
          <cell r="AG73" t="str">
            <v>FZ no SLR</v>
          </cell>
        </row>
        <row r="74">
          <cell r="V74" t="str">
            <v>Commercial stores (not supermarkets)</v>
          </cell>
          <cell r="AC74">
            <v>10</v>
          </cell>
          <cell r="AD74">
            <v>10</v>
          </cell>
          <cell r="AF74">
            <v>0.12477696750252525</v>
          </cell>
          <cell r="AG74" t="str">
            <v>FZ no SLR</v>
          </cell>
        </row>
        <row r="75">
          <cell r="V75" t="str">
            <v>Commercial stores (not supermarkets)</v>
          </cell>
          <cell r="AC75">
            <v>10</v>
          </cell>
          <cell r="AD75">
            <v>10</v>
          </cell>
          <cell r="AF75">
            <v>0.11382383654201102</v>
          </cell>
          <cell r="AG75" t="str">
            <v>FZ no SLR</v>
          </cell>
        </row>
        <row r="76">
          <cell r="V76" t="str">
            <v>Commercial stores (not supermarkets)</v>
          </cell>
          <cell r="AC76">
            <v>10</v>
          </cell>
          <cell r="AD76">
            <v>10</v>
          </cell>
          <cell r="AF76">
            <v>0.17944391071877869</v>
          </cell>
          <cell r="AG76" t="str">
            <v>FZ no SLR</v>
          </cell>
        </row>
        <row r="77">
          <cell r="V77" t="str">
            <v>Commercial stores (not supermarkets)</v>
          </cell>
          <cell r="AC77">
            <v>10</v>
          </cell>
          <cell r="AD77">
            <v>10</v>
          </cell>
          <cell r="AF77">
            <v>0.11234906929912764</v>
          </cell>
          <cell r="AG77" t="str">
            <v>FZ no SLR</v>
          </cell>
        </row>
        <row r="78">
          <cell r="V78" t="str">
            <v>Commercial stores (not supermarkets)</v>
          </cell>
          <cell r="AC78">
            <v>10</v>
          </cell>
          <cell r="AD78">
            <v>10</v>
          </cell>
          <cell r="AF78">
            <v>0.11853359517309459</v>
          </cell>
          <cell r="AG78" t="str">
            <v>FZ no SLR</v>
          </cell>
        </row>
        <row r="79">
          <cell r="V79" t="str">
            <v>Commercial stores (not supermarkets)</v>
          </cell>
          <cell r="AC79">
            <v>10</v>
          </cell>
          <cell r="AD79">
            <v>10</v>
          </cell>
          <cell r="AF79">
            <v>0.1196503953285124</v>
          </cell>
          <cell r="AG79" t="str">
            <v>FZ no SLR</v>
          </cell>
        </row>
        <row r="80">
          <cell r="V80" t="str">
            <v>Commercial stores (not supermarkets)</v>
          </cell>
          <cell r="AC80">
            <v>10</v>
          </cell>
          <cell r="AD80">
            <v>10</v>
          </cell>
          <cell r="AF80">
            <v>0.22561588695362719</v>
          </cell>
          <cell r="AG80" t="str">
            <v>FZ no SLR</v>
          </cell>
        </row>
        <row r="81">
          <cell r="V81" t="str">
            <v>Commercial stores (not supermarkets)</v>
          </cell>
          <cell r="AC81">
            <v>10</v>
          </cell>
          <cell r="AD81">
            <v>10</v>
          </cell>
          <cell r="AF81">
            <v>0.28710931527777778</v>
          </cell>
          <cell r="AG81" t="str">
            <v>FZ no SLR</v>
          </cell>
        </row>
        <row r="82">
          <cell r="V82" t="str">
            <v>Commercial stores (not supermarkets)</v>
          </cell>
          <cell r="AC82">
            <v>10</v>
          </cell>
          <cell r="AD82">
            <v>10</v>
          </cell>
          <cell r="AF82">
            <v>5.9726593024793391E-2</v>
          </cell>
          <cell r="AG82" t="str">
            <v>FZ no SLR</v>
          </cell>
        </row>
        <row r="83">
          <cell r="V83" t="str">
            <v>Commercial stores (not supermarkets)</v>
          </cell>
          <cell r="AC83">
            <v>10</v>
          </cell>
          <cell r="AD83">
            <v>10</v>
          </cell>
          <cell r="AF83">
            <v>0.11576854438383839</v>
          </cell>
          <cell r="AG83" t="str">
            <v>FZ no SLR</v>
          </cell>
        </row>
        <row r="84">
          <cell r="V84" t="str">
            <v>Commercial stores (not supermarkets)</v>
          </cell>
          <cell r="AC84">
            <v>10</v>
          </cell>
          <cell r="AD84">
            <v>10</v>
          </cell>
          <cell r="AF84">
            <v>0.11273130709389348</v>
          </cell>
          <cell r="AG84" t="str">
            <v>FZ no SLR</v>
          </cell>
        </row>
        <row r="85">
          <cell r="V85" t="str">
            <v>Commercial stores (not supermarkets)</v>
          </cell>
          <cell r="AC85">
            <v>10</v>
          </cell>
          <cell r="AD85">
            <v>10</v>
          </cell>
          <cell r="AF85">
            <v>0.13614341575160699</v>
          </cell>
          <cell r="AG85" t="str">
            <v>FZ no SLR</v>
          </cell>
        </row>
        <row r="86">
          <cell r="V86" t="str">
            <v>Commercial stores (not supermarkets)</v>
          </cell>
          <cell r="AC86">
            <v>10</v>
          </cell>
          <cell r="AD86">
            <v>6</v>
          </cell>
          <cell r="AF86">
            <v>0.27761816264692374</v>
          </cell>
          <cell r="AG86" t="str">
            <v>FZ no SLR</v>
          </cell>
        </row>
        <row r="87">
          <cell r="V87" t="str">
            <v>Community facilities; recreational; swim pool association</v>
          </cell>
          <cell r="AC87">
            <v>10</v>
          </cell>
          <cell r="AD87">
            <v>10</v>
          </cell>
          <cell r="AF87">
            <v>3.0945575818181816</v>
          </cell>
          <cell r="AG87" t="str">
            <v>FZ no SLR</v>
          </cell>
        </row>
        <row r="88">
          <cell r="V88" t="str">
            <v>Financial buildings (insurance and title companies, banks, savings and loans</v>
          </cell>
          <cell r="AC88">
            <v>10</v>
          </cell>
          <cell r="AD88">
            <v>10</v>
          </cell>
          <cell r="AF88">
            <v>0.17853905987327823</v>
          </cell>
          <cell r="AG88" t="str">
            <v>FZ no SLR</v>
          </cell>
        </row>
        <row r="89">
          <cell r="V89" t="str">
            <v>Financial buildings (insurance and title companies, banks, savings and loans</v>
          </cell>
          <cell r="AC89">
            <v>10</v>
          </cell>
          <cell r="AD89">
            <v>10</v>
          </cell>
          <cell r="AF89">
            <v>3.0233810151744721E-2</v>
          </cell>
          <cell r="AG89" t="str">
            <v>FZ no SLR</v>
          </cell>
        </row>
        <row r="90">
          <cell r="V90" t="str">
            <v>Financial buildings (insurance and title companies, banks, savings and loans</v>
          </cell>
          <cell r="AC90">
            <v>10</v>
          </cell>
          <cell r="AD90">
            <v>10</v>
          </cell>
          <cell r="AF90">
            <v>0.12250780885743802</v>
          </cell>
          <cell r="AG90" t="str">
            <v>FZ no SLR</v>
          </cell>
        </row>
        <row r="91">
          <cell r="V91" t="str">
            <v>Financial buildings (insurance and title companies, banks, savings and loans</v>
          </cell>
          <cell r="AC91">
            <v>10</v>
          </cell>
          <cell r="AD91">
            <v>10</v>
          </cell>
          <cell r="AF91">
            <v>0.25190474138429753</v>
          </cell>
          <cell r="AG91" t="str">
            <v>FZ no SLR</v>
          </cell>
        </row>
        <row r="92">
          <cell r="V92" t="str">
            <v>Medical; dental</v>
          </cell>
          <cell r="AC92">
            <v>10</v>
          </cell>
          <cell r="AD92">
            <v>10</v>
          </cell>
          <cell r="AF92">
            <v>0.10700721625229567</v>
          </cell>
          <cell r="AG92" t="str">
            <v>FZ no SLR</v>
          </cell>
        </row>
        <row r="93">
          <cell r="V93" t="str">
            <v>Medical; dental</v>
          </cell>
          <cell r="AC93">
            <v>10</v>
          </cell>
          <cell r="AD93">
            <v>10</v>
          </cell>
          <cell r="AF93">
            <v>0.15891986054820936</v>
          </cell>
          <cell r="AG93" t="str">
            <v>FZ no SLR</v>
          </cell>
        </row>
        <row r="94">
          <cell r="V94" t="str">
            <v>Medical; dental</v>
          </cell>
          <cell r="AC94">
            <v>10</v>
          </cell>
          <cell r="AD94">
            <v>10</v>
          </cell>
          <cell r="AF94">
            <v>8.5540631002984382E-2</v>
          </cell>
          <cell r="AG94" t="str">
            <v>FZ no SLR</v>
          </cell>
        </row>
        <row r="95">
          <cell r="V95" t="str">
            <v>Medical; dental</v>
          </cell>
          <cell r="AC95">
            <v>10</v>
          </cell>
          <cell r="AD95">
            <v>10</v>
          </cell>
          <cell r="AF95">
            <v>0.10856581135078054</v>
          </cell>
          <cell r="AG95" t="str">
            <v>FZ no SLR</v>
          </cell>
        </row>
        <row r="96">
          <cell r="V96" t="str">
            <v>Motels, hotels, and mobile home parks</v>
          </cell>
          <cell r="AC96">
            <v>10</v>
          </cell>
          <cell r="AD96">
            <v>10</v>
          </cell>
          <cell r="AF96">
            <v>0.46639800659320474</v>
          </cell>
          <cell r="AG96" t="str">
            <v>FZ no SLR</v>
          </cell>
        </row>
        <row r="97">
          <cell r="V97" t="str">
            <v>Motels, hotels, and mobile home parks</v>
          </cell>
          <cell r="AC97">
            <v>10</v>
          </cell>
          <cell r="AD97">
            <v>10</v>
          </cell>
          <cell r="AF97">
            <v>9.1810669704086315E-2</v>
          </cell>
          <cell r="AG97" t="str">
            <v>FZ no SLR</v>
          </cell>
        </row>
        <row r="98">
          <cell r="V98" t="str">
            <v>Motels, hotels, and mobile home parks</v>
          </cell>
          <cell r="AC98">
            <v>10</v>
          </cell>
          <cell r="AD98">
            <v>10</v>
          </cell>
          <cell r="AF98">
            <v>5.8444796751836545E-2</v>
          </cell>
          <cell r="AG98" t="str">
            <v>FZ no SLR</v>
          </cell>
        </row>
        <row r="99">
          <cell r="V99" t="str">
            <v>Motels, hotels, and mobile home parks</v>
          </cell>
          <cell r="AC99">
            <v>10</v>
          </cell>
          <cell r="AD99">
            <v>10</v>
          </cell>
          <cell r="AF99">
            <v>0.11127880991322313</v>
          </cell>
          <cell r="AG99" t="str">
            <v>FZ no SLR</v>
          </cell>
        </row>
        <row r="100">
          <cell r="V100" t="str">
            <v>Multiple and commercial; miscellaneously improved</v>
          </cell>
          <cell r="AC100">
            <v>10</v>
          </cell>
          <cell r="AD100">
            <v>6</v>
          </cell>
          <cell r="AF100">
            <v>10.003324269536272</v>
          </cell>
          <cell r="AG100" t="str">
            <v>FZ no SLR</v>
          </cell>
        </row>
        <row r="101">
          <cell r="V101" t="str">
            <v>Multiple and commercial; miscellaneously improved</v>
          </cell>
          <cell r="AC101">
            <v>10</v>
          </cell>
          <cell r="AD101">
            <v>10</v>
          </cell>
          <cell r="AF101">
            <v>0.13085239320959596</v>
          </cell>
          <cell r="AG101" t="str">
            <v>FZ no SLR</v>
          </cell>
        </row>
        <row r="102">
          <cell r="V102" t="str">
            <v>Multiple and commercial; miscellaneously improved</v>
          </cell>
          <cell r="AC102">
            <v>10</v>
          </cell>
          <cell r="AD102">
            <v>10</v>
          </cell>
          <cell r="AF102">
            <v>0.3092469945798898</v>
          </cell>
          <cell r="AG102" t="str">
            <v>FZ no SLR</v>
          </cell>
        </row>
        <row r="103">
          <cell r="V103" t="str">
            <v>Multiple and commercial; miscellaneously improved</v>
          </cell>
          <cell r="AC103">
            <v>10</v>
          </cell>
          <cell r="AD103">
            <v>10</v>
          </cell>
          <cell r="AF103">
            <v>5.03733330479798</v>
          </cell>
          <cell r="AG103" t="str">
            <v>FZ no SLR</v>
          </cell>
        </row>
        <row r="104">
          <cell r="V104" t="str">
            <v>Multiple and commercial; miscellaneously improved</v>
          </cell>
          <cell r="AC104">
            <v>10</v>
          </cell>
          <cell r="AD104">
            <v>6</v>
          </cell>
          <cell r="AF104">
            <v>0.62050456782139585</v>
          </cell>
          <cell r="AG104" t="str">
            <v>FZ no SLR</v>
          </cell>
        </row>
        <row r="105">
          <cell r="V105" t="str">
            <v>Multiple and commercial; miscellaneously improved</v>
          </cell>
          <cell r="AC105">
            <v>10</v>
          </cell>
          <cell r="AD105">
            <v>10</v>
          </cell>
          <cell r="AF105">
            <v>0.25079541757346191</v>
          </cell>
          <cell r="AG105" t="str">
            <v>FZ no SLR</v>
          </cell>
        </row>
        <row r="106">
          <cell r="V106" t="str">
            <v>Multiple and commercial; miscellaneously improved</v>
          </cell>
          <cell r="AC106">
            <v>10</v>
          </cell>
          <cell r="AD106">
            <v>6</v>
          </cell>
          <cell r="AF106">
            <v>0.6943392850482093</v>
          </cell>
          <cell r="AG106" t="str">
            <v>FZ no SLR</v>
          </cell>
        </row>
        <row r="107">
          <cell r="V107" t="str">
            <v>New car auto agencies</v>
          </cell>
          <cell r="AC107">
            <v>10</v>
          </cell>
          <cell r="AD107">
            <v>10</v>
          </cell>
          <cell r="AF107">
            <v>0.16073829907506887</v>
          </cell>
          <cell r="AG107" t="str">
            <v>FZ no SLR</v>
          </cell>
        </row>
        <row r="108">
          <cell r="V108" t="str">
            <v>Office buildings</v>
          </cell>
          <cell r="AC108">
            <v>10</v>
          </cell>
          <cell r="AD108">
            <v>10</v>
          </cell>
          <cell r="AF108">
            <v>1.4443435894605143</v>
          </cell>
          <cell r="AG108" t="str">
            <v>FZ no SLR</v>
          </cell>
        </row>
        <row r="109">
          <cell r="V109" t="str">
            <v>Office buildings</v>
          </cell>
          <cell r="AC109">
            <v>10</v>
          </cell>
          <cell r="AD109">
            <v>10</v>
          </cell>
          <cell r="AF109">
            <v>2.6575474303030302</v>
          </cell>
          <cell r="AG109" t="str">
            <v>FZ no SLR</v>
          </cell>
        </row>
        <row r="110">
          <cell r="V110" t="str">
            <v>Office buildings</v>
          </cell>
          <cell r="AC110">
            <v>10</v>
          </cell>
          <cell r="AD110">
            <v>10</v>
          </cell>
          <cell r="AF110">
            <v>0.14381840655601469</v>
          </cell>
          <cell r="AG110" t="str">
            <v>FZ no SLR</v>
          </cell>
        </row>
        <row r="111">
          <cell r="V111" t="str">
            <v>Office buildings</v>
          </cell>
          <cell r="AC111">
            <v>10</v>
          </cell>
          <cell r="AD111">
            <v>10</v>
          </cell>
          <cell r="AF111">
            <v>0.13299643663865932</v>
          </cell>
          <cell r="AG111" t="str">
            <v>FZ no SLR</v>
          </cell>
        </row>
        <row r="112">
          <cell r="V112" t="str">
            <v>Office buildings</v>
          </cell>
          <cell r="AC112">
            <v>10</v>
          </cell>
          <cell r="AD112">
            <v>10</v>
          </cell>
          <cell r="AF112">
            <v>0.20546393795431589</v>
          </cell>
          <cell r="AG112" t="str">
            <v>FZ no SLR</v>
          </cell>
        </row>
        <row r="113">
          <cell r="V113" t="str">
            <v>Office buildings</v>
          </cell>
          <cell r="AC113">
            <v>10</v>
          </cell>
          <cell r="AD113">
            <v>10</v>
          </cell>
          <cell r="AF113">
            <v>0.11309138817401286</v>
          </cell>
          <cell r="AG113" t="str">
            <v>FZ no SLR</v>
          </cell>
        </row>
        <row r="114">
          <cell r="V114" t="str">
            <v>Office buildings</v>
          </cell>
          <cell r="AC114">
            <v>10</v>
          </cell>
          <cell r="AD114">
            <v>10</v>
          </cell>
          <cell r="AF114">
            <v>0.14425222680234159</v>
          </cell>
          <cell r="AG114" t="str">
            <v>FZ no SLR</v>
          </cell>
        </row>
        <row r="115">
          <cell r="V115" t="str">
            <v>Office buildings</v>
          </cell>
          <cell r="AC115">
            <v>10</v>
          </cell>
          <cell r="AD115">
            <v>10</v>
          </cell>
          <cell r="AF115">
            <v>0.26201604238521581</v>
          </cell>
          <cell r="AG115" t="str">
            <v>FZ no SLR</v>
          </cell>
        </row>
        <row r="116">
          <cell r="V116" t="str">
            <v>Office buildings</v>
          </cell>
          <cell r="AC116">
            <v>10</v>
          </cell>
          <cell r="AD116">
            <v>10</v>
          </cell>
          <cell r="AF116">
            <v>0.22890030853925619</v>
          </cell>
          <cell r="AG116" t="str">
            <v>FZ no SLR</v>
          </cell>
        </row>
        <row r="117">
          <cell r="V117" t="str">
            <v>Office buildings</v>
          </cell>
          <cell r="AC117">
            <v>10</v>
          </cell>
          <cell r="AD117">
            <v>10</v>
          </cell>
          <cell r="AF117">
            <v>9.8638875571395779E-2</v>
          </cell>
          <cell r="AG117" t="str">
            <v>FZ no SLR</v>
          </cell>
        </row>
        <row r="118">
          <cell r="V118" t="str">
            <v>Office buildings</v>
          </cell>
          <cell r="AC118">
            <v>10</v>
          </cell>
          <cell r="AD118">
            <v>10</v>
          </cell>
          <cell r="AF118">
            <v>0.11298026143411387</v>
          </cell>
          <cell r="AG118" t="str">
            <v>FZ no SLR</v>
          </cell>
        </row>
        <row r="119">
          <cell r="V119" t="str">
            <v>Office buildings</v>
          </cell>
          <cell r="AC119">
            <v>10</v>
          </cell>
          <cell r="AD119">
            <v>10</v>
          </cell>
          <cell r="AF119">
            <v>0.14358822208494032</v>
          </cell>
          <cell r="AG119" t="str">
            <v>FZ no SLR</v>
          </cell>
        </row>
        <row r="120">
          <cell r="V120" t="str">
            <v>Office buildings</v>
          </cell>
          <cell r="AC120">
            <v>10</v>
          </cell>
          <cell r="AD120">
            <v>10</v>
          </cell>
          <cell r="AF120">
            <v>9.3063451700413219E-2</v>
          </cell>
          <cell r="AG120" t="str">
            <v>FZ no SLR</v>
          </cell>
        </row>
        <row r="121">
          <cell r="V121" t="str">
            <v>Office buildings</v>
          </cell>
          <cell r="AC121">
            <v>10</v>
          </cell>
          <cell r="AD121">
            <v>10</v>
          </cell>
          <cell r="AF121">
            <v>0.10134386597865012</v>
          </cell>
          <cell r="AG121" t="str">
            <v>FZ no SLR</v>
          </cell>
        </row>
        <row r="122">
          <cell r="V122" t="str">
            <v>Office buildings</v>
          </cell>
          <cell r="AC122">
            <v>10</v>
          </cell>
          <cell r="AD122">
            <v>10</v>
          </cell>
          <cell r="AF122">
            <v>0.22693486325550966</v>
          </cell>
          <cell r="AG122" t="str">
            <v>FZ no SLR</v>
          </cell>
        </row>
        <row r="123">
          <cell r="V123" t="str">
            <v>Office buildings</v>
          </cell>
          <cell r="AC123">
            <v>10</v>
          </cell>
          <cell r="AD123">
            <v>10</v>
          </cell>
          <cell r="AF123">
            <v>0.11183162697428833</v>
          </cell>
          <cell r="AG123" t="str">
            <v>FZ no SLR</v>
          </cell>
        </row>
        <row r="124">
          <cell r="V124" t="str">
            <v>Office buildings</v>
          </cell>
          <cell r="AC124">
            <v>10</v>
          </cell>
          <cell r="AD124">
            <v>10</v>
          </cell>
          <cell r="AF124">
            <v>0.28414324360192839</v>
          </cell>
          <cell r="AG124" t="str">
            <v>FZ no SLR</v>
          </cell>
        </row>
        <row r="125">
          <cell r="V125" t="str">
            <v>Office buildings</v>
          </cell>
          <cell r="AC125">
            <v>10</v>
          </cell>
          <cell r="AD125">
            <v>10</v>
          </cell>
          <cell r="AF125">
            <v>0.11358792468250689</v>
          </cell>
          <cell r="AG125" t="str">
            <v>FZ no SLR</v>
          </cell>
        </row>
        <row r="126">
          <cell r="V126" t="str">
            <v>Office buildings</v>
          </cell>
          <cell r="AC126">
            <v>10</v>
          </cell>
          <cell r="AD126">
            <v>10</v>
          </cell>
          <cell r="AF126">
            <v>0.16392586061501377</v>
          </cell>
          <cell r="AG126" t="str">
            <v>FZ no SLR</v>
          </cell>
        </row>
        <row r="127">
          <cell r="V127" t="str">
            <v>Office buildings</v>
          </cell>
          <cell r="AC127">
            <v>10</v>
          </cell>
          <cell r="AD127">
            <v>10</v>
          </cell>
          <cell r="AF127">
            <v>0.12596977913636365</v>
          </cell>
          <cell r="AG127" t="str">
            <v>FZ no SLR</v>
          </cell>
        </row>
        <row r="128">
          <cell r="V128" t="str">
            <v>Office buildings</v>
          </cell>
          <cell r="AC128">
            <v>10</v>
          </cell>
          <cell r="AD128">
            <v>10</v>
          </cell>
          <cell r="AF128">
            <v>0.31407241290174476</v>
          </cell>
          <cell r="AG128" t="str">
            <v>FZ no SLR</v>
          </cell>
        </row>
        <row r="129">
          <cell r="V129" t="str">
            <v>Office buildings</v>
          </cell>
          <cell r="AC129">
            <v>10</v>
          </cell>
          <cell r="AD129">
            <v>10</v>
          </cell>
          <cell r="AF129">
            <v>0.15840380132162535</v>
          </cell>
          <cell r="AG129" t="str">
            <v>FZ no SLR</v>
          </cell>
        </row>
        <row r="130">
          <cell r="V130" t="str">
            <v>Office buildings</v>
          </cell>
          <cell r="AC130">
            <v>10</v>
          </cell>
          <cell r="AD130">
            <v>10</v>
          </cell>
          <cell r="AF130">
            <v>0.1070201670224977</v>
          </cell>
          <cell r="AG130" t="str">
            <v>FZ no SLR</v>
          </cell>
        </row>
        <row r="131">
          <cell r="V131" t="str">
            <v>Office buildings</v>
          </cell>
          <cell r="AC131">
            <v>10</v>
          </cell>
          <cell r="AD131">
            <v>10</v>
          </cell>
          <cell r="AF131">
            <v>4.6126918676997246E-2</v>
          </cell>
          <cell r="AG131" t="str">
            <v>FZ no SLR</v>
          </cell>
        </row>
        <row r="132">
          <cell r="V132" t="str">
            <v>Office buildings</v>
          </cell>
          <cell r="AC132">
            <v>10</v>
          </cell>
          <cell r="AD132">
            <v>10</v>
          </cell>
          <cell r="AF132">
            <v>0.14547725974150597</v>
          </cell>
          <cell r="AG132" t="str">
            <v>FZ no SLR</v>
          </cell>
        </row>
        <row r="133">
          <cell r="V133" t="str">
            <v>Office buildings</v>
          </cell>
          <cell r="AC133">
            <v>10</v>
          </cell>
          <cell r="AD133">
            <v>10</v>
          </cell>
          <cell r="AF133">
            <v>0.28403308271809002</v>
          </cell>
          <cell r="AG133" t="str">
            <v>FZ no SLR</v>
          </cell>
        </row>
        <row r="134">
          <cell r="V134" t="str">
            <v>Office buildings</v>
          </cell>
          <cell r="AC134">
            <v>10</v>
          </cell>
          <cell r="AD134">
            <v>10</v>
          </cell>
          <cell r="AF134">
            <v>0.11303679335629017</v>
          </cell>
          <cell r="AG134" t="str">
            <v>FZ no SLR</v>
          </cell>
        </row>
        <row r="135">
          <cell r="V135" t="str">
            <v>Office buildings</v>
          </cell>
          <cell r="AC135">
            <v>10</v>
          </cell>
          <cell r="AD135">
            <v>10</v>
          </cell>
          <cell r="AF135">
            <v>0.11380868863062442</v>
          </cell>
          <cell r="AG135" t="str">
            <v>FZ no SLR</v>
          </cell>
        </row>
        <row r="136">
          <cell r="V136" t="str">
            <v>Office buildings</v>
          </cell>
          <cell r="AC136">
            <v>10</v>
          </cell>
          <cell r="AD136">
            <v>10</v>
          </cell>
          <cell r="AF136">
            <v>0.47212268707300276</v>
          </cell>
          <cell r="AG136" t="str">
            <v>FZ no SLR</v>
          </cell>
        </row>
        <row r="137">
          <cell r="V137" t="str">
            <v>Office buildings</v>
          </cell>
          <cell r="AC137">
            <v>10</v>
          </cell>
          <cell r="AD137">
            <v>10</v>
          </cell>
          <cell r="AF137">
            <v>0.17471215511707988</v>
          </cell>
          <cell r="AG137" t="str">
            <v>FZ no SLR</v>
          </cell>
        </row>
        <row r="138">
          <cell r="V138" t="str">
            <v>Office buildings</v>
          </cell>
          <cell r="AC138">
            <v>10</v>
          </cell>
          <cell r="AD138">
            <v>6</v>
          </cell>
          <cell r="AF138">
            <v>0.2819804378719008</v>
          </cell>
          <cell r="AG138" t="str">
            <v>FZ no SLR</v>
          </cell>
        </row>
        <row r="139">
          <cell r="V139" t="str">
            <v>Restaurants (not drive-in; inside service only)</v>
          </cell>
          <cell r="AC139">
            <v>10</v>
          </cell>
          <cell r="AD139">
            <v>10</v>
          </cell>
          <cell r="AF139">
            <v>0.13119770628810834</v>
          </cell>
          <cell r="AG139" t="str">
            <v>FZ no SLR</v>
          </cell>
        </row>
        <row r="140">
          <cell r="V140" t="str">
            <v>Restaurants (not drive-in; inside service only)</v>
          </cell>
          <cell r="AC140">
            <v>10</v>
          </cell>
          <cell r="AD140">
            <v>10</v>
          </cell>
          <cell r="AF140">
            <v>0.14125386245316804</v>
          </cell>
          <cell r="AG140" t="str">
            <v>FZ no SLR</v>
          </cell>
        </row>
        <row r="141">
          <cell r="V141" t="str">
            <v>Restaurants (not drive-in; inside service only)</v>
          </cell>
          <cell r="AC141">
            <v>10</v>
          </cell>
          <cell r="AD141">
            <v>6</v>
          </cell>
          <cell r="AF141">
            <v>0.21778170614210288</v>
          </cell>
          <cell r="AG141" t="str">
            <v>FZ no SLR</v>
          </cell>
        </row>
        <row r="142">
          <cell r="V142" t="str">
            <v>Restaurants (not drive-in; inside service only)</v>
          </cell>
          <cell r="AC142">
            <v>10</v>
          </cell>
          <cell r="AD142">
            <v>6</v>
          </cell>
          <cell r="AF142">
            <v>0.14828920583562902</v>
          </cell>
          <cell r="AG142" t="str">
            <v>FZ no SLR</v>
          </cell>
        </row>
        <row r="143">
          <cell r="V143" t="str">
            <v>Restaurants (not drive-in; inside service only)</v>
          </cell>
          <cell r="AC143">
            <v>10</v>
          </cell>
          <cell r="AD143">
            <v>10</v>
          </cell>
          <cell r="AF143">
            <v>0.22001476969100092</v>
          </cell>
          <cell r="AG143" t="str">
            <v>FZ no SLR</v>
          </cell>
        </row>
        <row r="144">
          <cell r="V144" t="str">
            <v>Restaurants (not drive-in; inside service only)</v>
          </cell>
          <cell r="AC144">
            <v>10</v>
          </cell>
          <cell r="AD144">
            <v>6</v>
          </cell>
          <cell r="AF144">
            <v>7.5430301149908174E-2</v>
          </cell>
          <cell r="AG144" t="str">
            <v>FZ no SLR</v>
          </cell>
        </row>
        <row r="145">
          <cell r="V145" t="str">
            <v>Service stations; car washes; bulk plants; mini lube</v>
          </cell>
          <cell r="AC145">
            <v>10</v>
          </cell>
          <cell r="AD145">
            <v>10</v>
          </cell>
          <cell r="AF145">
            <v>0.35751480984389344</v>
          </cell>
          <cell r="AG145" t="str">
            <v>FZ no SLR</v>
          </cell>
        </row>
        <row r="146">
          <cell r="V146" t="str">
            <v>Service stations; car washes; bulk plants; mini lube</v>
          </cell>
          <cell r="AC146">
            <v>10</v>
          </cell>
          <cell r="AD146">
            <v>10</v>
          </cell>
          <cell r="AF146">
            <v>0.15427909291528927</v>
          </cell>
          <cell r="AG146" t="str">
            <v>FZ no SLR</v>
          </cell>
        </row>
        <row r="147">
          <cell r="V147" t="str">
            <v>Service stations; car washes; bulk plants; mini lube</v>
          </cell>
          <cell r="AC147">
            <v>10</v>
          </cell>
          <cell r="AD147">
            <v>10</v>
          </cell>
          <cell r="AF147">
            <v>0.39840364081496787</v>
          </cell>
          <cell r="AG147" t="str">
            <v>FZ no SLR</v>
          </cell>
        </row>
        <row r="148">
          <cell r="V148" t="str">
            <v>Service stations; car washes; bulk plants; mini lube</v>
          </cell>
          <cell r="AC148">
            <v>10</v>
          </cell>
          <cell r="AD148">
            <v>10</v>
          </cell>
          <cell r="AF148">
            <v>0.18681781184573004</v>
          </cell>
          <cell r="AG148" t="str">
            <v>FZ no SLR</v>
          </cell>
        </row>
        <row r="149">
          <cell r="V149" t="str">
            <v>Service stations; car washes; bulk plants; mini lube</v>
          </cell>
          <cell r="AC149">
            <v>10</v>
          </cell>
          <cell r="AD149">
            <v>10</v>
          </cell>
          <cell r="AF149">
            <v>0.22220603612534434</v>
          </cell>
          <cell r="AG149" t="str">
            <v>FZ no SLR</v>
          </cell>
        </row>
        <row r="150">
          <cell r="V150" t="str">
            <v>Shopping centers (all parcels include vacant for future shopping center)</v>
          </cell>
          <cell r="AC150">
            <v>10</v>
          </cell>
          <cell r="AD150">
            <v>10</v>
          </cell>
          <cell r="AF150">
            <v>0.75539360442837467</v>
          </cell>
          <cell r="AG150" t="str">
            <v>FZ no SLR</v>
          </cell>
        </row>
        <row r="151">
          <cell r="V151" t="str">
            <v>Vacant</v>
          </cell>
          <cell r="AC151">
            <v>10</v>
          </cell>
          <cell r="AD151">
            <v>10</v>
          </cell>
          <cell r="AF151">
            <v>1.0232113201515152</v>
          </cell>
          <cell r="AG151" t="str">
            <v>FZ no SLR</v>
          </cell>
        </row>
        <row r="152">
          <cell r="V152" t="str">
            <v>Vacant</v>
          </cell>
          <cell r="AC152">
            <v>10</v>
          </cell>
          <cell r="AD152">
            <v>10</v>
          </cell>
          <cell r="AF152">
            <v>0.2594475905624426</v>
          </cell>
          <cell r="AG152" t="str">
            <v>FZ no SLR</v>
          </cell>
        </row>
        <row r="153">
          <cell r="V153" t="str">
            <v>Vacant</v>
          </cell>
          <cell r="AC153">
            <v>10</v>
          </cell>
          <cell r="AD153">
            <v>10</v>
          </cell>
          <cell r="AF153">
            <v>7.9155065484389345E-2</v>
          </cell>
          <cell r="AG153" t="str">
            <v>FZ no SLR</v>
          </cell>
        </row>
        <row r="154">
          <cell r="V154" t="str">
            <v>Vacant</v>
          </cell>
          <cell r="AC154">
            <v>10</v>
          </cell>
          <cell r="AD154">
            <v>10</v>
          </cell>
          <cell r="AF154">
            <v>5.7688844658172637E-2</v>
          </cell>
          <cell r="AG154" t="str">
            <v>FZ no SLR</v>
          </cell>
        </row>
        <row r="155">
          <cell r="V155" t="str">
            <v>Vacant</v>
          </cell>
          <cell r="AC155">
            <v>10</v>
          </cell>
          <cell r="AD155">
            <v>10</v>
          </cell>
          <cell r="AF155">
            <v>0.10056729849196511</v>
          </cell>
          <cell r="AG155" t="str">
            <v>FZ no SLR</v>
          </cell>
        </row>
        <row r="156">
          <cell r="V156" t="str">
            <v>Vacant</v>
          </cell>
          <cell r="AC156">
            <v>10</v>
          </cell>
          <cell r="AD156">
            <v>10</v>
          </cell>
          <cell r="AF156">
            <v>0.1158353204040404</v>
          </cell>
          <cell r="AG156" t="str">
            <v>FZ no SLR</v>
          </cell>
        </row>
        <row r="157">
          <cell r="V157" t="str">
            <v>Vacant</v>
          </cell>
          <cell r="AC157">
            <v>10</v>
          </cell>
          <cell r="AD157">
            <v>10</v>
          </cell>
          <cell r="AF157">
            <v>0.16577216627571165</v>
          </cell>
          <cell r="AG157" t="str">
            <v>FZ no SLR</v>
          </cell>
        </row>
        <row r="158">
          <cell r="V158" t="str">
            <v>Vacant</v>
          </cell>
          <cell r="AC158">
            <v>10</v>
          </cell>
          <cell r="AD158">
            <v>10</v>
          </cell>
          <cell r="AF158">
            <v>0.22427942187235994</v>
          </cell>
          <cell r="AG158" t="str">
            <v>FZ no SLR</v>
          </cell>
        </row>
        <row r="159">
          <cell r="V159" t="str">
            <v>Vacant</v>
          </cell>
          <cell r="AC159">
            <v>10</v>
          </cell>
          <cell r="AD159">
            <v>10</v>
          </cell>
          <cell r="AF159">
            <v>0.10789597539761248</v>
          </cell>
          <cell r="AG159" t="str">
            <v>FZ no SLR</v>
          </cell>
        </row>
        <row r="160">
          <cell r="V160" t="str">
            <v>Vacant</v>
          </cell>
          <cell r="AC160">
            <v>10</v>
          </cell>
          <cell r="AD160">
            <v>10</v>
          </cell>
          <cell r="AF160">
            <v>0.11358480505142332</v>
          </cell>
          <cell r="AG160" t="str">
            <v>FZ no SLR</v>
          </cell>
        </row>
        <row r="161">
          <cell r="V161" t="str">
            <v>Vacant</v>
          </cell>
          <cell r="AC161">
            <v>10</v>
          </cell>
          <cell r="AD161">
            <v>10</v>
          </cell>
          <cell r="AF161">
            <v>0.11229482144444443</v>
          </cell>
          <cell r="AG161" t="str">
            <v>FZ no SLR</v>
          </cell>
        </row>
        <row r="162">
          <cell r="V162" t="str">
            <v>Vacant</v>
          </cell>
          <cell r="AC162">
            <v>10</v>
          </cell>
          <cell r="AD162">
            <v>10</v>
          </cell>
          <cell r="AF162">
            <v>0.11652021138820018</v>
          </cell>
          <cell r="AG162" t="str">
            <v>FZ no SLR</v>
          </cell>
        </row>
        <row r="163">
          <cell r="V163" t="str">
            <v>Vacant</v>
          </cell>
          <cell r="AC163">
            <v>10</v>
          </cell>
          <cell r="AD163">
            <v>10</v>
          </cell>
          <cell r="AF163">
            <v>0.2308813755785124</v>
          </cell>
          <cell r="AG163" t="str">
            <v>FZ no SLR</v>
          </cell>
        </row>
        <row r="164">
          <cell r="V164" t="str">
            <v>Vacant</v>
          </cell>
          <cell r="AC164">
            <v>10</v>
          </cell>
          <cell r="AD164">
            <v>10</v>
          </cell>
          <cell r="AF164">
            <v>0.11279317396556474</v>
          </cell>
          <cell r="AG164" t="str">
            <v>FZ no SLR</v>
          </cell>
        </row>
        <row r="165">
          <cell r="V165" t="str">
            <v>Vacant</v>
          </cell>
          <cell r="AC165">
            <v>10</v>
          </cell>
          <cell r="AD165">
            <v>10</v>
          </cell>
          <cell r="AF165">
            <v>2.7557021090909091</v>
          </cell>
          <cell r="AG165" t="str">
            <v>FZ no SLR</v>
          </cell>
        </row>
        <row r="166">
          <cell r="V166" t="str">
            <v>Vacant</v>
          </cell>
          <cell r="AC166">
            <v>10</v>
          </cell>
          <cell r="AD166">
            <v>10</v>
          </cell>
          <cell r="AF166">
            <v>1.5032099643089991</v>
          </cell>
          <cell r="AG166" t="str">
            <v>FZ no SLR</v>
          </cell>
        </row>
        <row r="167">
          <cell r="V167" t="str">
            <v>Vacant</v>
          </cell>
          <cell r="AC167">
            <v>10</v>
          </cell>
          <cell r="AD167">
            <v>10</v>
          </cell>
          <cell r="AF167">
            <v>2.2048676803305782</v>
          </cell>
          <cell r="AG167" t="str">
            <v>FZ no SLR</v>
          </cell>
        </row>
        <row r="168">
          <cell r="V168" t="str">
            <v>Vacant</v>
          </cell>
          <cell r="AC168">
            <v>10</v>
          </cell>
          <cell r="AD168">
            <v>10</v>
          </cell>
          <cell r="AF168">
            <v>9.6057541462350784</v>
          </cell>
          <cell r="AG168" t="str">
            <v>FZ no SLR</v>
          </cell>
        </row>
        <row r="169">
          <cell r="V169" t="str">
            <v>Vacant</v>
          </cell>
          <cell r="AC169">
            <v>10</v>
          </cell>
          <cell r="AD169">
            <v>6</v>
          </cell>
          <cell r="AF169">
            <v>1.7225663001216713</v>
          </cell>
          <cell r="AG169" t="str">
            <v>FZ no SLR</v>
          </cell>
        </row>
        <row r="170">
          <cell r="V170" t="str">
            <v>Vacant</v>
          </cell>
          <cell r="AC170">
            <v>10</v>
          </cell>
          <cell r="AD170">
            <v>6</v>
          </cell>
          <cell r="AF170">
            <v>0.74186580876492192</v>
          </cell>
          <cell r="AG170" t="str">
            <v>FZ no SLR</v>
          </cell>
        </row>
        <row r="171">
          <cell r="V171" t="str">
            <v>Vacant</v>
          </cell>
          <cell r="AC171">
            <v>10</v>
          </cell>
          <cell r="AD171">
            <v>6</v>
          </cell>
          <cell r="AF171">
            <v>0.99609139941460068</v>
          </cell>
          <cell r="AG171" t="str">
            <v>FZ no SLR</v>
          </cell>
        </row>
        <row r="172">
          <cell r="V172" t="str">
            <v>Boat Harbors</v>
          </cell>
          <cell r="AC172">
            <v>0</v>
          </cell>
          <cell r="AD172">
            <v>10</v>
          </cell>
          <cell r="AF172">
            <v>25.05320379912764</v>
          </cell>
          <cell r="AG172" t="str">
            <v>FZ with SLR</v>
          </cell>
        </row>
        <row r="173">
          <cell r="V173" t="str">
            <v>Boat Harbors</v>
          </cell>
          <cell r="AC173">
            <v>0</v>
          </cell>
          <cell r="AD173">
            <v>10</v>
          </cell>
          <cell r="AF173">
            <v>24.075812035123967</v>
          </cell>
          <cell r="AG173" t="str">
            <v>FZ with SLR</v>
          </cell>
        </row>
        <row r="174">
          <cell r="V174" t="str">
            <v>Boat Harbors</v>
          </cell>
          <cell r="AC174">
            <v>0</v>
          </cell>
          <cell r="AD174">
            <v>10</v>
          </cell>
          <cell r="AF174">
            <v>13.961933709986226</v>
          </cell>
          <cell r="AG174" t="str">
            <v>FZ with SLR</v>
          </cell>
        </row>
        <row r="175">
          <cell r="V175" t="str">
            <v>Boat Harbors</v>
          </cell>
          <cell r="AC175">
            <v>0</v>
          </cell>
          <cell r="AD175">
            <v>10</v>
          </cell>
          <cell r="AF175">
            <v>3.2375891697199264</v>
          </cell>
          <cell r="AG175" t="str">
            <v>FZ with SLR</v>
          </cell>
        </row>
        <row r="176">
          <cell r="V176" t="str">
            <v>Boat Harbors</v>
          </cell>
          <cell r="AC176">
            <v>0</v>
          </cell>
          <cell r="AD176">
            <v>10</v>
          </cell>
          <cell r="AF176">
            <v>36.306320063131309</v>
          </cell>
          <cell r="AG176" t="str">
            <v>FZ with SLR</v>
          </cell>
        </row>
        <row r="177">
          <cell r="V177" t="str">
            <v>Boat Harbors</v>
          </cell>
          <cell r="AC177">
            <v>0</v>
          </cell>
          <cell r="AD177">
            <v>10</v>
          </cell>
          <cell r="AF177">
            <v>14.026668340679523</v>
          </cell>
          <cell r="AG177" t="str">
            <v>FZ with SLR</v>
          </cell>
        </row>
        <row r="178">
          <cell r="V178" t="str">
            <v>Boat Harbors</v>
          </cell>
          <cell r="AC178">
            <v>0</v>
          </cell>
          <cell r="AD178">
            <v>10</v>
          </cell>
          <cell r="AF178">
            <v>1.0757905475619833</v>
          </cell>
          <cell r="AG178" t="str">
            <v>FZ with SLR</v>
          </cell>
        </row>
        <row r="179">
          <cell r="V179" t="str">
            <v>Boat Harbors</v>
          </cell>
          <cell r="AC179">
            <v>0</v>
          </cell>
          <cell r="AD179">
            <v>10</v>
          </cell>
          <cell r="AF179">
            <v>4.5321910069329663</v>
          </cell>
          <cell r="AG179" t="str">
            <v>FZ with SLR</v>
          </cell>
        </row>
        <row r="180">
          <cell r="V180" t="str">
            <v>Boat Harbors</v>
          </cell>
          <cell r="AC180">
            <v>0</v>
          </cell>
          <cell r="AD180">
            <v>10</v>
          </cell>
          <cell r="AF180">
            <v>8.6365138325068869E-2</v>
          </cell>
          <cell r="AG180" t="str">
            <v>FZ with SLR</v>
          </cell>
        </row>
        <row r="181">
          <cell r="V181" t="str">
            <v>Boat Harbors</v>
          </cell>
          <cell r="AC181">
            <v>0</v>
          </cell>
          <cell r="AD181">
            <v>10</v>
          </cell>
          <cell r="AF181">
            <v>0.50346087671028461</v>
          </cell>
          <cell r="AG181" t="str">
            <v>FZ with SLR</v>
          </cell>
        </row>
        <row r="182">
          <cell r="V182" t="str">
            <v>Boat Harbors</v>
          </cell>
          <cell r="AC182">
            <v>0</v>
          </cell>
          <cell r="AD182">
            <v>10</v>
          </cell>
          <cell r="AF182">
            <v>29.334036183195593</v>
          </cell>
          <cell r="AG182" t="str">
            <v>FZ with SLR</v>
          </cell>
        </row>
        <row r="183">
          <cell r="V183" t="str">
            <v>Boat Harbors</v>
          </cell>
          <cell r="AC183">
            <v>0</v>
          </cell>
          <cell r="AD183">
            <v>10</v>
          </cell>
          <cell r="AF183">
            <v>6.7537657817263552</v>
          </cell>
          <cell r="AG183" t="str">
            <v>FZ with SLR</v>
          </cell>
        </row>
        <row r="184">
          <cell r="V184" t="str">
            <v>Boat Harbors</v>
          </cell>
          <cell r="AC184">
            <v>0</v>
          </cell>
          <cell r="AD184">
            <v>10</v>
          </cell>
          <cell r="AF184">
            <v>1.4140431340013775</v>
          </cell>
          <cell r="AG184" t="str">
            <v>FZ with SLR</v>
          </cell>
        </row>
        <row r="185">
          <cell r="V185" t="str">
            <v>Boat Harbors</v>
          </cell>
          <cell r="AC185">
            <v>0</v>
          </cell>
          <cell r="AD185">
            <v>10</v>
          </cell>
          <cell r="AF185">
            <v>0.2277460753089991</v>
          </cell>
          <cell r="AG185" t="str">
            <v>FZ with SLR</v>
          </cell>
        </row>
        <row r="186">
          <cell r="V186" t="str">
            <v>Community facilities; recreational; swim pool association</v>
          </cell>
          <cell r="AC186">
            <v>0</v>
          </cell>
          <cell r="AD186">
            <v>10</v>
          </cell>
          <cell r="AF186">
            <v>8.2014921079889813</v>
          </cell>
          <cell r="AG186" t="str">
            <v>FZ with SLR</v>
          </cell>
        </row>
        <row r="187">
          <cell r="V187" t="str">
            <v>Community facilities; recreational; swim pool association</v>
          </cell>
          <cell r="AC187">
            <v>0</v>
          </cell>
          <cell r="AD187">
            <v>4</v>
          </cell>
          <cell r="AF187">
            <v>71.648514992424239</v>
          </cell>
          <cell r="AG187" t="str">
            <v>FZ with SLR</v>
          </cell>
        </row>
        <row r="188">
          <cell r="V188" t="str">
            <v>Office buildings</v>
          </cell>
          <cell r="AC188">
            <v>0</v>
          </cell>
          <cell r="AD188">
            <v>10</v>
          </cell>
          <cell r="AF188">
            <v>41.121760782828282</v>
          </cell>
          <cell r="AG188" t="str">
            <v>FZ with SLR</v>
          </cell>
        </row>
        <row r="189">
          <cell r="V189" t="str">
            <v>Office buildings</v>
          </cell>
          <cell r="AC189">
            <v>0</v>
          </cell>
          <cell r="AD189">
            <v>10</v>
          </cell>
          <cell r="AF189">
            <v>0.6715515723576676</v>
          </cell>
          <cell r="AG189" t="str">
            <v>FZ with SLR</v>
          </cell>
        </row>
        <row r="190">
          <cell r="V190" t="str">
            <v>Office buildings</v>
          </cell>
          <cell r="AC190">
            <v>0</v>
          </cell>
          <cell r="AD190">
            <v>10</v>
          </cell>
          <cell r="AF190">
            <v>0.54172631774793389</v>
          </cell>
          <cell r="AG190" t="str">
            <v>FZ with SLR</v>
          </cell>
        </row>
        <row r="191">
          <cell r="V191" t="str">
            <v>Vacant</v>
          </cell>
          <cell r="AC191">
            <v>0</v>
          </cell>
          <cell r="AD191">
            <v>10</v>
          </cell>
          <cell r="AF191">
            <v>3.8148492371212122</v>
          </cell>
          <cell r="AG191" t="str">
            <v>FZ with SLR</v>
          </cell>
        </row>
        <row r="192">
          <cell r="V192" t="str">
            <v>Vacant</v>
          </cell>
          <cell r="AC192">
            <v>0</v>
          </cell>
          <cell r="AD192">
            <v>10</v>
          </cell>
          <cell r="AF192">
            <v>0.15979697088820019</v>
          </cell>
          <cell r="AG192" t="str">
            <v>FZ with SLR</v>
          </cell>
        </row>
        <row r="193">
          <cell r="V193" t="str">
            <v>Auto repair</v>
          </cell>
          <cell r="AC193">
            <v>5</v>
          </cell>
          <cell r="AD193">
            <v>10</v>
          </cell>
          <cell r="AF193">
            <v>0.1340066417027089</v>
          </cell>
          <cell r="AG193" t="str">
            <v>FZ with SLR</v>
          </cell>
        </row>
        <row r="194">
          <cell r="V194" t="str">
            <v>Community facilities; recreational; swim pool association</v>
          </cell>
          <cell r="AC194">
            <v>5</v>
          </cell>
          <cell r="AD194">
            <v>4</v>
          </cell>
          <cell r="AF194">
            <v>30.165267138429755</v>
          </cell>
          <cell r="AG194" t="str">
            <v>FZ with SLR</v>
          </cell>
        </row>
        <row r="195">
          <cell r="V195" t="str">
            <v>Motels, hotels, and mobile home parks</v>
          </cell>
          <cell r="AC195">
            <v>5</v>
          </cell>
          <cell r="AD195">
            <v>10</v>
          </cell>
          <cell r="AF195">
            <v>27.360959749999999</v>
          </cell>
          <cell r="AG195" t="str">
            <v>FZ with SLR</v>
          </cell>
        </row>
        <row r="196">
          <cell r="V196" t="str">
            <v>Vacant</v>
          </cell>
          <cell r="AC196">
            <v>5</v>
          </cell>
          <cell r="AD196">
            <v>10</v>
          </cell>
          <cell r="AF196">
            <v>0.22733953029775023</v>
          </cell>
          <cell r="AG196" t="str">
            <v>FZ with SLR</v>
          </cell>
        </row>
        <row r="197">
          <cell r="V197" t="str">
            <v>Vacant</v>
          </cell>
          <cell r="AC197">
            <v>5</v>
          </cell>
          <cell r="AD197">
            <v>10</v>
          </cell>
          <cell r="AF197">
            <v>12.793424050872359</v>
          </cell>
          <cell r="AG197" t="str">
            <v>FZ with SLR</v>
          </cell>
        </row>
        <row r="198">
          <cell r="V198" t="str">
            <v>Vacant</v>
          </cell>
          <cell r="AC198">
            <v>5</v>
          </cell>
          <cell r="AD198">
            <v>10</v>
          </cell>
          <cell r="AF198">
            <v>1.0037399882162534</v>
          </cell>
          <cell r="AG198" t="str">
            <v>FZ with SLR</v>
          </cell>
        </row>
        <row r="199">
          <cell r="V199" t="str">
            <v>Auto repair</v>
          </cell>
          <cell r="AC199">
            <v>6</v>
          </cell>
          <cell r="AD199">
            <v>10</v>
          </cell>
          <cell r="AF199">
            <v>0.16542828863269055</v>
          </cell>
          <cell r="AG199" t="str">
            <v>FZ with SLR</v>
          </cell>
        </row>
        <row r="200">
          <cell r="V200" t="str">
            <v>Auto repair</v>
          </cell>
          <cell r="AC200">
            <v>6</v>
          </cell>
          <cell r="AD200">
            <v>10</v>
          </cell>
          <cell r="AF200">
            <v>0.19835729632988983</v>
          </cell>
          <cell r="AG200" t="str">
            <v>FZ with SLR</v>
          </cell>
        </row>
        <row r="201">
          <cell r="V201" t="str">
            <v>Auto repair</v>
          </cell>
          <cell r="AC201">
            <v>6</v>
          </cell>
          <cell r="AD201">
            <v>10</v>
          </cell>
          <cell r="AF201">
            <v>0.41715846075068874</v>
          </cell>
          <cell r="AG201" t="str">
            <v>FZ with SLR</v>
          </cell>
        </row>
        <row r="202">
          <cell r="V202" t="str">
            <v>Auto repair</v>
          </cell>
          <cell r="AC202">
            <v>6</v>
          </cell>
          <cell r="AD202">
            <v>10</v>
          </cell>
          <cell r="AF202">
            <v>0.22884070209136823</v>
          </cell>
          <cell r="AG202" t="str">
            <v>FZ with SLR</v>
          </cell>
        </row>
        <row r="203">
          <cell r="V203" t="str">
            <v>Commercial stores (not supermarkets)</v>
          </cell>
          <cell r="AC203">
            <v>6</v>
          </cell>
          <cell r="AD203">
            <v>10</v>
          </cell>
          <cell r="AF203">
            <v>0.11482249071694214</v>
          </cell>
          <cell r="AG203" t="str">
            <v>FZ with SLR</v>
          </cell>
        </row>
        <row r="204">
          <cell r="V204" t="str">
            <v>Commercial stores (not supermarkets)</v>
          </cell>
          <cell r="AC204">
            <v>6</v>
          </cell>
          <cell r="AD204">
            <v>10</v>
          </cell>
          <cell r="AF204">
            <v>8.4801286231634521E-2</v>
          </cell>
          <cell r="AG204" t="str">
            <v>FZ with SLR</v>
          </cell>
        </row>
        <row r="205">
          <cell r="V205" t="str">
            <v>Commercial stores (not supermarkets)</v>
          </cell>
          <cell r="AC205">
            <v>6</v>
          </cell>
          <cell r="AD205">
            <v>10</v>
          </cell>
          <cell r="AF205">
            <v>0.12167049863177228</v>
          </cell>
          <cell r="AG205" t="str">
            <v>FZ with SLR</v>
          </cell>
        </row>
        <row r="206">
          <cell r="V206" t="str">
            <v>Commercial stores (not supermarkets)</v>
          </cell>
          <cell r="AC206">
            <v>6</v>
          </cell>
          <cell r="AD206">
            <v>10</v>
          </cell>
          <cell r="AF206">
            <v>0.11709287934779614</v>
          </cell>
          <cell r="AG206" t="str">
            <v>FZ with SLR</v>
          </cell>
        </row>
        <row r="207">
          <cell r="V207" t="str">
            <v>Commercial stores (not supermarkets)</v>
          </cell>
          <cell r="AC207">
            <v>6</v>
          </cell>
          <cell r="AD207">
            <v>10</v>
          </cell>
          <cell r="AF207">
            <v>0.15390851907231407</v>
          </cell>
          <cell r="AG207" t="str">
            <v>FZ with SLR</v>
          </cell>
        </row>
        <row r="208">
          <cell r="V208" t="str">
            <v>Commercial stores (not supermarkets)</v>
          </cell>
          <cell r="AC208">
            <v>6</v>
          </cell>
          <cell r="AD208">
            <v>5</v>
          </cell>
          <cell r="AF208">
            <v>0.60533982575987144</v>
          </cell>
          <cell r="AG208" t="str">
            <v>FZ with SLR</v>
          </cell>
        </row>
        <row r="209">
          <cell r="V209" t="str">
            <v>Commercial stores (not supermarkets)</v>
          </cell>
          <cell r="AC209">
            <v>6</v>
          </cell>
          <cell r="AD209">
            <v>5</v>
          </cell>
          <cell r="AF209">
            <v>9.2717741025941228E-2</v>
          </cell>
          <cell r="AG209" t="str">
            <v>FZ with SLR</v>
          </cell>
        </row>
        <row r="210">
          <cell r="V210" t="str">
            <v>Commercial stores (not supermarkets)</v>
          </cell>
          <cell r="AC210">
            <v>6</v>
          </cell>
          <cell r="AD210">
            <v>5</v>
          </cell>
          <cell r="AF210">
            <v>6.9367658646464644E-2</v>
          </cell>
          <cell r="AG210" t="str">
            <v>FZ with SLR</v>
          </cell>
        </row>
        <row r="211">
          <cell r="V211" t="str">
            <v>Commercial stores (not supermarkets)</v>
          </cell>
          <cell r="AC211">
            <v>6</v>
          </cell>
          <cell r="AD211">
            <v>5</v>
          </cell>
          <cell r="AF211">
            <v>0.14532032354063362</v>
          </cell>
          <cell r="AG211" t="str">
            <v>FZ with SLR</v>
          </cell>
        </row>
        <row r="212">
          <cell r="V212" t="str">
            <v>Commercial stores (not supermarkets)</v>
          </cell>
          <cell r="AC212">
            <v>6</v>
          </cell>
          <cell r="AD212">
            <v>5</v>
          </cell>
          <cell r="AF212">
            <v>0.23340436779155188</v>
          </cell>
          <cell r="AG212" t="str">
            <v>FZ with SLR</v>
          </cell>
        </row>
        <row r="213">
          <cell r="V213" t="str">
            <v>Commercial stores (not supermarkets)</v>
          </cell>
          <cell r="AC213">
            <v>6</v>
          </cell>
          <cell r="AD213">
            <v>5</v>
          </cell>
          <cell r="AF213">
            <v>0.13860796124380165</v>
          </cell>
          <cell r="AG213" t="str">
            <v>FZ with SLR</v>
          </cell>
        </row>
        <row r="214">
          <cell r="V214" t="str">
            <v>Commercial stores (not supermarkets)</v>
          </cell>
          <cell r="AC214">
            <v>6</v>
          </cell>
          <cell r="AD214">
            <v>10</v>
          </cell>
          <cell r="AF214">
            <v>0.33275641266988065</v>
          </cell>
          <cell r="AG214" t="str">
            <v>FZ with SLR</v>
          </cell>
        </row>
        <row r="215">
          <cell r="V215" t="str">
            <v>Commercial stores (not supermarkets)</v>
          </cell>
          <cell r="AC215">
            <v>6</v>
          </cell>
          <cell r="AD215">
            <v>10</v>
          </cell>
          <cell r="AF215">
            <v>5.9371474962580342E-2</v>
          </cell>
          <cell r="AG215" t="str">
            <v>FZ with SLR</v>
          </cell>
        </row>
        <row r="216">
          <cell r="V216" t="str">
            <v>Drive-in restaurants (hamburger, taco, etc.)</v>
          </cell>
          <cell r="AC216">
            <v>6</v>
          </cell>
          <cell r="AD216">
            <v>10</v>
          </cell>
          <cell r="AF216">
            <v>0.16417652858011939</v>
          </cell>
          <cell r="AG216" t="str">
            <v>FZ with SLR</v>
          </cell>
        </row>
        <row r="217">
          <cell r="V217" t="str">
            <v>Medical; dental</v>
          </cell>
          <cell r="AC217">
            <v>6</v>
          </cell>
          <cell r="AD217">
            <v>10</v>
          </cell>
          <cell r="AF217">
            <v>7.184386916069789E-2</v>
          </cell>
          <cell r="AG217" t="str">
            <v>FZ with SLR</v>
          </cell>
        </row>
        <row r="218">
          <cell r="V218" t="str">
            <v>Medical; dental</v>
          </cell>
          <cell r="AC218">
            <v>6</v>
          </cell>
          <cell r="AD218">
            <v>5</v>
          </cell>
          <cell r="AF218">
            <v>0.11302239325573921</v>
          </cell>
          <cell r="AG218" t="str">
            <v>FZ with SLR</v>
          </cell>
        </row>
        <row r="219">
          <cell r="V219" t="str">
            <v>Motels, hotels, and mobile home parks</v>
          </cell>
          <cell r="AC219">
            <v>6</v>
          </cell>
          <cell r="AD219">
            <v>10</v>
          </cell>
          <cell r="AF219">
            <v>0.28433313283516992</v>
          </cell>
          <cell r="AG219" t="str">
            <v>FZ with SLR</v>
          </cell>
        </row>
        <row r="220">
          <cell r="V220" t="str">
            <v>Motels, hotels, and mobile home parks</v>
          </cell>
          <cell r="AC220">
            <v>6</v>
          </cell>
          <cell r="AD220">
            <v>10</v>
          </cell>
          <cell r="AF220">
            <v>1.0726678980463729</v>
          </cell>
          <cell r="AG220" t="str">
            <v>FZ with SLR</v>
          </cell>
        </row>
        <row r="221">
          <cell r="V221" t="str">
            <v>Multiple and commercial; miscellaneously improved</v>
          </cell>
          <cell r="AC221">
            <v>6</v>
          </cell>
          <cell r="AD221">
            <v>10</v>
          </cell>
          <cell r="AF221">
            <v>0.71750425261707984</v>
          </cell>
          <cell r="AG221" t="str">
            <v>FZ with SLR</v>
          </cell>
        </row>
        <row r="222">
          <cell r="V222" t="str">
            <v>Office buildings</v>
          </cell>
          <cell r="AC222">
            <v>6</v>
          </cell>
          <cell r="AD222">
            <v>5</v>
          </cell>
          <cell r="AF222">
            <v>9.4770769775022967E-2</v>
          </cell>
          <cell r="AG222" t="str">
            <v>FZ with SLR</v>
          </cell>
        </row>
        <row r="223">
          <cell r="V223" t="str">
            <v>Office buildings</v>
          </cell>
          <cell r="AC223">
            <v>6</v>
          </cell>
          <cell r="AD223">
            <v>5</v>
          </cell>
          <cell r="AF223">
            <v>0.11249574457966023</v>
          </cell>
          <cell r="AG223" t="str">
            <v>FZ with SLR</v>
          </cell>
        </row>
        <row r="224">
          <cell r="V224" t="str">
            <v>Office buildings</v>
          </cell>
          <cell r="AC224">
            <v>6</v>
          </cell>
          <cell r="AD224">
            <v>5</v>
          </cell>
          <cell r="AF224">
            <v>0.13626244053902661</v>
          </cell>
          <cell r="AG224" t="str">
            <v>FZ with SLR</v>
          </cell>
        </row>
        <row r="225">
          <cell r="V225" t="str">
            <v>Vacant</v>
          </cell>
          <cell r="AC225">
            <v>6</v>
          </cell>
          <cell r="AD225">
            <v>5</v>
          </cell>
          <cell r="AF225">
            <v>0.11274760690840221</v>
          </cell>
          <cell r="AG225" t="str">
            <v>FZ with SLR</v>
          </cell>
        </row>
        <row r="226">
          <cell r="V226" t="str">
            <v>Vacant</v>
          </cell>
          <cell r="AC226">
            <v>6</v>
          </cell>
          <cell r="AD226">
            <v>5</v>
          </cell>
          <cell r="AF226">
            <v>0.13980666094513314</v>
          </cell>
          <cell r="AG226" t="str">
            <v>FZ with SLR</v>
          </cell>
        </row>
        <row r="227">
          <cell r="V227" t="str">
            <v>Vacant</v>
          </cell>
          <cell r="AC227">
            <v>6</v>
          </cell>
          <cell r="AD227">
            <v>5</v>
          </cell>
          <cell r="AF227">
            <v>0.10051064288016529</v>
          </cell>
          <cell r="AG227" t="str">
            <v>FZ with SLR</v>
          </cell>
        </row>
        <row r="228">
          <cell r="V228" t="str">
            <v>Vacant</v>
          </cell>
          <cell r="AC228">
            <v>6</v>
          </cell>
          <cell r="AD228">
            <v>5</v>
          </cell>
          <cell r="AF228">
            <v>0.23352226876492196</v>
          </cell>
          <cell r="AG228" t="str">
            <v>FZ with SLR</v>
          </cell>
        </row>
        <row r="229">
          <cell r="V229" t="str">
            <v>Vacant</v>
          </cell>
          <cell r="AC229">
            <v>6</v>
          </cell>
          <cell r="AD229">
            <v>5</v>
          </cell>
          <cell r="AF229">
            <v>0.41951261321854916</v>
          </cell>
          <cell r="AG229" t="str">
            <v>FZ with SLR</v>
          </cell>
        </row>
        <row r="230">
          <cell r="V230" t="str">
            <v>Vacant</v>
          </cell>
          <cell r="AC230">
            <v>6</v>
          </cell>
          <cell r="AD230">
            <v>5</v>
          </cell>
          <cell r="AF230">
            <v>4.3833067380394858E-2</v>
          </cell>
          <cell r="AG230" t="str">
            <v>FZ with SLR</v>
          </cell>
        </row>
        <row r="231">
          <cell r="V231" t="str">
            <v>Commercial stores (not supermarkets)</v>
          </cell>
          <cell r="AC231">
            <v>10</v>
          </cell>
          <cell r="AD231">
            <v>6</v>
          </cell>
          <cell r="AF231">
            <v>7.9742333410238748</v>
          </cell>
          <cell r="AG231" t="str">
            <v>SLR Adjacent</v>
          </cell>
        </row>
        <row r="232">
          <cell r="V232" t="str">
            <v>Motels, hotels, and mobile home parks</v>
          </cell>
          <cell r="AC232">
            <v>10</v>
          </cell>
          <cell r="AD232">
            <v>6</v>
          </cell>
          <cell r="AF232">
            <v>0.11358984886065199</v>
          </cell>
          <cell r="AG232" t="str">
            <v>SLR Adjacent</v>
          </cell>
        </row>
        <row r="233">
          <cell r="V233" t="str">
            <v>Multiple and commercial; miscellaneously improved</v>
          </cell>
          <cell r="AC233">
            <v>10</v>
          </cell>
          <cell r="AD233">
            <v>6</v>
          </cell>
          <cell r="AF233">
            <v>12.619922150918274</v>
          </cell>
          <cell r="AG233" t="str">
            <v>SLR Adjacent</v>
          </cell>
        </row>
        <row r="234">
          <cell r="V234" t="str">
            <v>Vacant</v>
          </cell>
          <cell r="AC234">
            <v>10</v>
          </cell>
          <cell r="AD234">
            <v>6</v>
          </cell>
          <cell r="AF234">
            <v>0.11479353058953168</v>
          </cell>
          <cell r="AG234" t="str">
            <v>SLR Adjacent</v>
          </cell>
        </row>
        <row r="235">
          <cell r="V235" t="str">
            <v>Vacant</v>
          </cell>
          <cell r="AC235">
            <v>10</v>
          </cell>
          <cell r="AD235">
            <v>6</v>
          </cell>
          <cell r="AF235">
            <v>2.951098401584022</v>
          </cell>
          <cell r="AG235" t="str">
            <v>SLR Adjacent</v>
          </cell>
        </row>
        <row r="236">
          <cell r="V236" t="str">
            <v>Vacant</v>
          </cell>
          <cell r="AC236">
            <v>10</v>
          </cell>
          <cell r="AD236">
            <v>6</v>
          </cell>
          <cell r="AF236">
            <v>0.20524554632047751</v>
          </cell>
          <cell r="AG236" t="str">
            <v>SLR Adjacent</v>
          </cell>
        </row>
        <row r="237">
          <cell r="V237" t="str">
            <v>Boat Harbors</v>
          </cell>
          <cell r="AC237">
            <v>0</v>
          </cell>
          <cell r="AD237">
            <v>10</v>
          </cell>
          <cell r="AF237">
            <v>6.9234809640725439E-2</v>
          </cell>
          <cell r="AG237" t="str">
            <v>SLR not in FZ</v>
          </cell>
        </row>
        <row r="238">
          <cell r="V238" t="str">
            <v>Boat Harbors</v>
          </cell>
          <cell r="AC238">
            <v>0</v>
          </cell>
          <cell r="AD238">
            <v>10</v>
          </cell>
          <cell r="AF238">
            <v>0.31825044107897155</v>
          </cell>
          <cell r="AG238" t="str">
            <v>SLR not in FZ</v>
          </cell>
        </row>
        <row r="239">
          <cell r="V239" t="str">
            <v>Boat Harbors</v>
          </cell>
          <cell r="AC239">
            <v>3</v>
          </cell>
          <cell r="AD239">
            <v>10</v>
          </cell>
          <cell r="AF239">
            <v>2.5310037362029383</v>
          </cell>
          <cell r="AG239" t="str">
            <v>SLR not in FZ</v>
          </cell>
        </row>
        <row r="240">
          <cell r="V240" t="str">
            <v>Auto repair</v>
          </cell>
          <cell r="AC240">
            <v>4</v>
          </cell>
          <cell r="AD240">
            <v>10</v>
          </cell>
          <cell r="AF240">
            <v>0.86928132870752983</v>
          </cell>
          <cell r="AG240" t="str">
            <v>SLR not in FZ</v>
          </cell>
        </row>
        <row r="241">
          <cell r="V241" t="str">
            <v>Commercial stores (not supermarkets)</v>
          </cell>
          <cell r="AC241">
            <v>4</v>
          </cell>
          <cell r="AD241">
            <v>3</v>
          </cell>
          <cell r="AF241">
            <v>1.0849563710743801</v>
          </cell>
          <cell r="AG241" t="str">
            <v>SLR not in FZ</v>
          </cell>
        </row>
        <row r="242">
          <cell r="V242" t="str">
            <v>Commercial stores (not supermarkets)</v>
          </cell>
          <cell r="AC242">
            <v>4</v>
          </cell>
          <cell r="AD242">
            <v>10</v>
          </cell>
          <cell r="AF242">
            <v>0.39492701584022044</v>
          </cell>
          <cell r="AG242" t="str">
            <v>SLR not in FZ</v>
          </cell>
        </row>
        <row r="243">
          <cell r="V243" t="str">
            <v>Drive-in restaurants (hamburger, taco, etc.)</v>
          </cell>
          <cell r="AC243">
            <v>4</v>
          </cell>
          <cell r="AD243">
            <v>3</v>
          </cell>
          <cell r="AF243">
            <v>0.9601360223576676</v>
          </cell>
          <cell r="AG243" t="str">
            <v>SLR not in FZ</v>
          </cell>
        </row>
        <row r="244">
          <cell r="V244" t="str">
            <v>Motels, hotels, and mobile home parks</v>
          </cell>
          <cell r="AC244">
            <v>4</v>
          </cell>
          <cell r="AD244">
            <v>3</v>
          </cell>
          <cell r="AF244">
            <v>3.2534096203168046</v>
          </cell>
          <cell r="AG244" t="str">
            <v>SLR not in FZ</v>
          </cell>
        </row>
        <row r="245">
          <cell r="V245" t="str">
            <v>Service stations; car washes; bulk plants; mini lube</v>
          </cell>
          <cell r="AC245">
            <v>4</v>
          </cell>
          <cell r="AD245">
            <v>3</v>
          </cell>
          <cell r="AF245">
            <v>0.45628275676767677</v>
          </cell>
          <cell r="AG245" t="str">
            <v>SLR not in FZ</v>
          </cell>
        </row>
        <row r="246">
          <cell r="V246" t="str">
            <v>Vacant</v>
          </cell>
          <cell r="AC246">
            <v>4</v>
          </cell>
          <cell r="AD246">
            <v>10</v>
          </cell>
          <cell r="AF246">
            <v>0.11684533622245179</v>
          </cell>
          <cell r="AG246" t="str">
            <v>SLR not in FZ</v>
          </cell>
        </row>
        <row r="247">
          <cell r="V247" t="str">
            <v>Auto repair</v>
          </cell>
          <cell r="AC247">
            <v>5</v>
          </cell>
          <cell r="AD247">
            <v>10</v>
          </cell>
          <cell r="AF247">
            <v>0.85416504550275485</v>
          </cell>
          <cell r="AG247" t="str">
            <v>SLR not in FZ</v>
          </cell>
        </row>
        <row r="248">
          <cell r="V248" t="str">
            <v>Boat Harbors</v>
          </cell>
          <cell r="AC248">
            <v>5</v>
          </cell>
          <cell r="AD248">
            <v>10</v>
          </cell>
          <cell r="AF248">
            <v>2.4079725787649218</v>
          </cell>
          <cell r="AG248" t="str">
            <v>SLR not in FZ</v>
          </cell>
        </row>
        <row r="249">
          <cell r="V249" t="str">
            <v>Boat Harbors</v>
          </cell>
          <cell r="AC249">
            <v>5</v>
          </cell>
          <cell r="AD249">
            <v>10</v>
          </cell>
          <cell r="AF249">
            <v>1.0734794941574839</v>
          </cell>
          <cell r="AG249" t="str">
            <v>SLR not in FZ</v>
          </cell>
        </row>
        <row r="250">
          <cell r="V250" t="str">
            <v>Boat Harbors</v>
          </cell>
          <cell r="AC250">
            <v>5</v>
          </cell>
          <cell r="AD250">
            <v>10</v>
          </cell>
          <cell r="AF250">
            <v>0.17053906199862259</v>
          </cell>
          <cell r="AG250" t="str">
            <v>SLR not in FZ</v>
          </cell>
        </row>
        <row r="251">
          <cell r="V251" t="str">
            <v>Commercial stores (not supermarkets)</v>
          </cell>
          <cell r="AC251">
            <v>5</v>
          </cell>
          <cell r="AD251">
            <v>10</v>
          </cell>
          <cell r="AF251">
            <v>8.5635033113177231E-2</v>
          </cell>
          <cell r="AG251" t="str">
            <v>SLR not in FZ</v>
          </cell>
        </row>
        <row r="252">
          <cell r="V252" t="str">
            <v>Commercial stores (not supermarkets)</v>
          </cell>
          <cell r="AC252">
            <v>5</v>
          </cell>
          <cell r="AD252">
            <v>10</v>
          </cell>
          <cell r="AF252">
            <v>7.5827021728191002E-2</v>
          </cell>
          <cell r="AG252" t="str">
            <v>SLR not in FZ</v>
          </cell>
        </row>
        <row r="253">
          <cell r="V253" t="str">
            <v>Multiple and commercial; miscellaneously improved</v>
          </cell>
          <cell r="AC253">
            <v>5</v>
          </cell>
          <cell r="AD253">
            <v>10</v>
          </cell>
          <cell r="AF253">
            <v>0.18844769153627181</v>
          </cell>
          <cell r="AG253" t="str">
            <v>SLR not in FZ</v>
          </cell>
        </row>
        <row r="254">
          <cell r="V254" t="str">
            <v>Multiple and commercial; miscellaneously improved</v>
          </cell>
          <cell r="AC254">
            <v>5</v>
          </cell>
          <cell r="AD254">
            <v>4</v>
          </cell>
          <cell r="AF254">
            <v>0.27993191323232325</v>
          </cell>
          <cell r="AG254" t="str">
            <v>SLR not in FZ</v>
          </cell>
        </row>
        <row r="255">
          <cell r="V255" t="str">
            <v>Office buildings</v>
          </cell>
          <cell r="AC255">
            <v>5</v>
          </cell>
          <cell r="AD255">
            <v>10</v>
          </cell>
          <cell r="AF255">
            <v>8.3199306038567497E-2</v>
          </cell>
          <cell r="AG255" t="str">
            <v>SLR not in FZ</v>
          </cell>
        </row>
        <row r="256">
          <cell r="V256" t="str">
            <v>Office buildings</v>
          </cell>
          <cell r="AC256">
            <v>5</v>
          </cell>
          <cell r="AD256">
            <v>10</v>
          </cell>
          <cell r="AF256">
            <v>0.12904438208287419</v>
          </cell>
          <cell r="AG256" t="str">
            <v>SLR not in FZ</v>
          </cell>
        </row>
        <row r="257">
          <cell r="V257" t="str">
            <v>Restaurants (not drive-in; inside service only)</v>
          </cell>
          <cell r="AC257">
            <v>5</v>
          </cell>
          <cell r="AD257">
            <v>10</v>
          </cell>
          <cell r="AF257">
            <v>1.0119935416528925</v>
          </cell>
          <cell r="AG257" t="str">
            <v>SLR not in FZ</v>
          </cell>
        </row>
        <row r="258">
          <cell r="V258" t="str">
            <v>Vacant</v>
          </cell>
          <cell r="AC258">
            <v>5</v>
          </cell>
          <cell r="AD258">
            <v>10</v>
          </cell>
          <cell r="AF258">
            <v>5.7137288359044996E-2</v>
          </cell>
          <cell r="AG258" t="str">
            <v>SLR not in FZ</v>
          </cell>
        </row>
        <row r="259">
          <cell r="V259" t="str">
            <v>Vacant</v>
          </cell>
          <cell r="AC259">
            <v>5</v>
          </cell>
          <cell r="AD259">
            <v>10</v>
          </cell>
          <cell r="AF259">
            <v>2.8585677087465566E-2</v>
          </cell>
          <cell r="AG259" t="str">
            <v>SLR not in FZ</v>
          </cell>
        </row>
        <row r="260">
          <cell r="V260" t="str">
            <v>Vacant</v>
          </cell>
          <cell r="AC260">
            <v>5</v>
          </cell>
          <cell r="AD260">
            <v>10</v>
          </cell>
          <cell r="AF260">
            <v>0.42257489623048666</v>
          </cell>
          <cell r="AG260" t="str">
            <v>SLR not in FZ</v>
          </cell>
        </row>
        <row r="261">
          <cell r="V261" t="str">
            <v>Commercial stores (not supermarkets)</v>
          </cell>
          <cell r="AC261">
            <v>6</v>
          </cell>
          <cell r="AD261">
            <v>10</v>
          </cell>
          <cell r="AF261">
            <v>0.17003597153741964</v>
          </cell>
          <cell r="AG261" t="str">
            <v>SLR not in FZ</v>
          </cell>
        </row>
        <row r="262">
          <cell r="V262" t="str">
            <v>Commercial stores (not supermarkets)</v>
          </cell>
          <cell r="AC262">
            <v>6</v>
          </cell>
          <cell r="AD262">
            <v>10</v>
          </cell>
          <cell r="AF262">
            <v>0.12571798866253445</v>
          </cell>
          <cell r="AG262" t="str">
            <v>SLR not in FZ</v>
          </cell>
        </row>
        <row r="263">
          <cell r="V263" t="str">
            <v>Commercial stores (not supermarkets)</v>
          </cell>
          <cell r="AC263">
            <v>6</v>
          </cell>
          <cell r="AD263">
            <v>10</v>
          </cell>
          <cell r="AF263">
            <v>7.9028057235078053E-2</v>
          </cell>
          <cell r="AG263" t="str">
            <v>SLR not in FZ</v>
          </cell>
        </row>
        <row r="264">
          <cell r="V264" t="str">
            <v>Commercial stores (not supermarkets)</v>
          </cell>
          <cell r="AC264">
            <v>6</v>
          </cell>
          <cell r="AD264">
            <v>5</v>
          </cell>
          <cell r="AF264">
            <v>2.6686510480716255</v>
          </cell>
          <cell r="AG264" t="str">
            <v>SLR not in FZ</v>
          </cell>
        </row>
        <row r="265">
          <cell r="V265" t="str">
            <v>Commercial stores (not supermarkets)</v>
          </cell>
          <cell r="AC265">
            <v>6</v>
          </cell>
          <cell r="AD265">
            <v>10</v>
          </cell>
          <cell r="AF265">
            <v>6.8455834324150597</v>
          </cell>
          <cell r="AG265" t="str">
            <v>SLR not in FZ</v>
          </cell>
        </row>
        <row r="266">
          <cell r="V266" t="str">
            <v>Office buildings</v>
          </cell>
          <cell r="AC266">
            <v>6</v>
          </cell>
          <cell r="AD266">
            <v>10</v>
          </cell>
          <cell r="AF266">
            <v>4.978690824471993E-2</v>
          </cell>
          <cell r="AG266" t="str">
            <v>SLR not in FZ</v>
          </cell>
        </row>
        <row r="267">
          <cell r="V267" t="str">
            <v>Office buildings</v>
          </cell>
          <cell r="AC267">
            <v>6</v>
          </cell>
          <cell r="AD267">
            <v>10</v>
          </cell>
          <cell r="AF267">
            <v>0.15493223515358126</v>
          </cell>
          <cell r="AG267" t="str">
            <v>SLR not in FZ</v>
          </cell>
        </row>
        <row r="268">
          <cell r="V268" t="str">
            <v>Office buildings</v>
          </cell>
          <cell r="AC268">
            <v>6</v>
          </cell>
          <cell r="AD268">
            <v>10</v>
          </cell>
          <cell r="AF268">
            <v>4.7377153780762171</v>
          </cell>
          <cell r="AG268" t="str">
            <v>SLR not in FZ</v>
          </cell>
        </row>
        <row r="269">
          <cell r="V269" t="str">
            <v>Restaurants (not drive-in; inside service only)</v>
          </cell>
          <cell r="AC269">
            <v>6</v>
          </cell>
          <cell r="AD269">
            <v>10</v>
          </cell>
          <cell r="AF269">
            <v>0.20821947792493112</v>
          </cell>
          <cell r="AG269" t="str">
            <v>SLR not in FZ</v>
          </cell>
        </row>
        <row r="270">
          <cell r="V270" t="str">
            <v>Vacant</v>
          </cell>
          <cell r="AC270">
            <v>6</v>
          </cell>
          <cell r="AD270">
            <v>10</v>
          </cell>
          <cell r="AF270">
            <v>0.61684093827134978</v>
          </cell>
          <cell r="AG270" t="str">
            <v>SLR not in FZ</v>
          </cell>
        </row>
        <row r="271">
          <cell r="V271" t="str">
            <v>Vacant</v>
          </cell>
          <cell r="AC271">
            <v>6</v>
          </cell>
          <cell r="AD271">
            <v>5</v>
          </cell>
          <cell r="AF271">
            <v>5.8610747857438019</v>
          </cell>
          <cell r="AG271" t="str">
            <v>SLR not in FZ</v>
          </cell>
        </row>
        <row r="272">
          <cell r="V272" t="str">
            <v>Vacant</v>
          </cell>
          <cell r="AC272">
            <v>6</v>
          </cell>
          <cell r="AD272">
            <v>10</v>
          </cell>
          <cell r="AF272">
            <v>0.80852674746097342</v>
          </cell>
          <cell r="AG272" t="str">
            <v>SLR not in FZ</v>
          </cell>
        </row>
        <row r="273">
          <cell r="AF273">
            <v>512.1729221795423</v>
          </cell>
        </row>
        <row r="277">
          <cell r="AD277">
            <v>39.248973338491737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ople Summary Tables"/>
      <sheetName val="Total in project area"/>
      <sheetName val="GIS export SLR intersect"/>
      <sheetName val="SLR pivot"/>
      <sheetName val="SLR calcs"/>
      <sheetName val="GIS export FZ intersect"/>
      <sheetName val="FZ pivot"/>
      <sheetName val="FZ calcs"/>
      <sheetName val="GIS export SLR + FZ intersect"/>
      <sheetName val="SLR + FZ pivot"/>
      <sheetName val="SLR + FZ calcs"/>
      <sheetName val="GIS export LL6"/>
      <sheetName val="LL6 pivot"/>
      <sheetName val="LL6 calc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E6" t="str">
            <v>Bay Point CDP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D6">
            <v>0</v>
          </cell>
          <cell r="AE6">
            <v>0</v>
          </cell>
          <cell r="AH6">
            <v>0</v>
          </cell>
          <cell r="AI6">
            <v>0</v>
          </cell>
          <cell r="AL6">
            <v>0</v>
          </cell>
          <cell r="AM6">
            <v>0</v>
          </cell>
          <cell r="AP6">
            <v>0</v>
          </cell>
          <cell r="AQ6">
            <v>0</v>
          </cell>
        </row>
        <row r="7">
          <cell r="V7">
            <v>0</v>
          </cell>
          <cell r="W7">
            <v>0</v>
          </cell>
          <cell r="Z7">
            <v>0</v>
          </cell>
          <cell r="AA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L7">
            <v>0</v>
          </cell>
          <cell r="AM7">
            <v>0</v>
          </cell>
          <cell r="AP7">
            <v>0</v>
          </cell>
          <cell r="AQ7">
            <v>0</v>
          </cell>
        </row>
        <row r="8">
          <cell r="V8">
            <v>0</v>
          </cell>
          <cell r="W8">
            <v>0</v>
          </cell>
          <cell r="Z8">
            <v>0</v>
          </cell>
          <cell r="AA8">
            <v>0</v>
          </cell>
          <cell r="AD8">
            <v>0</v>
          </cell>
          <cell r="AE8">
            <v>0</v>
          </cell>
          <cell r="AH8">
            <v>0</v>
          </cell>
          <cell r="AI8">
            <v>0</v>
          </cell>
          <cell r="AL8">
            <v>0</v>
          </cell>
          <cell r="AM8">
            <v>0</v>
          </cell>
          <cell r="AP8">
            <v>0</v>
          </cell>
          <cell r="AQ8">
            <v>0</v>
          </cell>
        </row>
        <row r="9">
          <cell r="V9">
            <v>0</v>
          </cell>
          <cell r="W9">
            <v>0</v>
          </cell>
          <cell r="Z9">
            <v>0</v>
          </cell>
          <cell r="AA9">
            <v>0</v>
          </cell>
          <cell r="AD9">
            <v>0</v>
          </cell>
          <cell r="AE9">
            <v>0</v>
          </cell>
          <cell r="AH9">
            <v>0</v>
          </cell>
          <cell r="AI9">
            <v>0</v>
          </cell>
          <cell r="AL9">
            <v>0</v>
          </cell>
          <cell r="AM9">
            <v>0</v>
          </cell>
          <cell r="AP9">
            <v>0</v>
          </cell>
          <cell r="AQ9">
            <v>0</v>
          </cell>
        </row>
        <row r="10">
          <cell r="V10">
            <v>0</v>
          </cell>
          <cell r="W10">
            <v>0</v>
          </cell>
          <cell r="Z10">
            <v>0</v>
          </cell>
          <cell r="AA10">
            <v>0</v>
          </cell>
          <cell r="AD10">
            <v>0</v>
          </cell>
          <cell r="AE10">
            <v>0</v>
          </cell>
          <cell r="AH10">
            <v>0</v>
          </cell>
          <cell r="AI10">
            <v>0</v>
          </cell>
          <cell r="AL10">
            <v>0</v>
          </cell>
          <cell r="AM10">
            <v>0</v>
          </cell>
          <cell r="AP10">
            <v>0</v>
          </cell>
          <cell r="AQ10">
            <v>0</v>
          </cell>
        </row>
        <row r="11">
          <cell r="V11">
            <v>0</v>
          </cell>
          <cell r="W11">
            <v>0</v>
          </cell>
          <cell r="Z11">
            <v>0</v>
          </cell>
          <cell r="AA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L11">
            <v>0.23997985211665615</v>
          </cell>
          <cell r="AM11">
            <v>0.73193854895580124</v>
          </cell>
          <cell r="AP11">
            <v>0.34044364942503674</v>
          </cell>
          <cell r="AQ11">
            <v>1.038353130746362</v>
          </cell>
        </row>
        <row r="12">
          <cell r="V12">
            <v>0</v>
          </cell>
          <cell r="W12">
            <v>0</v>
          </cell>
          <cell r="Z12">
            <v>0</v>
          </cell>
          <cell r="AA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L12">
            <v>0</v>
          </cell>
          <cell r="AM12">
            <v>0</v>
          </cell>
          <cell r="AP12">
            <v>0</v>
          </cell>
          <cell r="AQ12">
            <v>0</v>
          </cell>
        </row>
        <row r="13">
          <cell r="V13">
            <v>0</v>
          </cell>
          <cell r="W13">
            <v>0</v>
          </cell>
          <cell r="Z13">
            <v>0</v>
          </cell>
          <cell r="AA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L13">
            <v>0</v>
          </cell>
          <cell r="AM13">
            <v>0</v>
          </cell>
          <cell r="AP13">
            <v>0</v>
          </cell>
          <cell r="AQ13">
            <v>0</v>
          </cell>
        </row>
        <row r="14">
          <cell r="V14">
            <v>0</v>
          </cell>
          <cell r="W14">
            <v>0</v>
          </cell>
          <cell r="Z14">
            <v>0</v>
          </cell>
          <cell r="AA14">
            <v>0</v>
          </cell>
          <cell r="AD14">
            <v>0</v>
          </cell>
          <cell r="AE14">
            <v>0</v>
          </cell>
          <cell r="AH14">
            <v>0</v>
          </cell>
          <cell r="AI14">
            <v>0</v>
          </cell>
          <cell r="AL14">
            <v>0</v>
          </cell>
          <cell r="AM14">
            <v>0</v>
          </cell>
          <cell r="AP14">
            <v>0</v>
          </cell>
          <cell r="AQ14">
            <v>0</v>
          </cell>
        </row>
        <row r="15"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</row>
        <row r="16">
          <cell r="V16">
            <v>0</v>
          </cell>
          <cell r="W16">
            <v>0</v>
          </cell>
          <cell r="Z16">
            <v>0</v>
          </cell>
          <cell r="AA16">
            <v>0</v>
          </cell>
          <cell r="AD16">
            <v>0</v>
          </cell>
          <cell r="AE16">
            <v>0</v>
          </cell>
          <cell r="AH16">
            <v>0</v>
          </cell>
          <cell r="AI16">
            <v>0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</row>
        <row r="17">
          <cell r="V17">
            <v>0</v>
          </cell>
          <cell r="W17">
            <v>0</v>
          </cell>
          <cell r="Z17">
            <v>0</v>
          </cell>
          <cell r="AA17">
            <v>0</v>
          </cell>
          <cell r="AD17">
            <v>0</v>
          </cell>
          <cell r="AE17">
            <v>0</v>
          </cell>
          <cell r="AH17">
            <v>0</v>
          </cell>
          <cell r="AI17">
            <v>0</v>
          </cell>
          <cell r="AL17">
            <v>0</v>
          </cell>
          <cell r="AM17">
            <v>0</v>
          </cell>
          <cell r="AP17">
            <v>0</v>
          </cell>
          <cell r="AQ17">
            <v>0</v>
          </cell>
        </row>
        <row r="18">
          <cell r="V18">
            <v>0</v>
          </cell>
          <cell r="W18">
            <v>0</v>
          </cell>
          <cell r="Z18">
            <v>0</v>
          </cell>
          <cell r="AA18">
            <v>0</v>
          </cell>
          <cell r="AD18">
            <v>0</v>
          </cell>
          <cell r="AE18">
            <v>0</v>
          </cell>
          <cell r="AH18">
            <v>0</v>
          </cell>
          <cell r="AI18">
            <v>0</v>
          </cell>
          <cell r="AL18">
            <v>0</v>
          </cell>
          <cell r="AM18">
            <v>0</v>
          </cell>
          <cell r="AP18">
            <v>0</v>
          </cell>
          <cell r="AQ18">
            <v>0</v>
          </cell>
        </row>
        <row r="19">
          <cell r="V19">
            <v>0</v>
          </cell>
          <cell r="W19">
            <v>0</v>
          </cell>
          <cell r="Z19">
            <v>0</v>
          </cell>
          <cell r="AA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L19">
            <v>0</v>
          </cell>
          <cell r="AM19">
            <v>0</v>
          </cell>
          <cell r="AP19">
            <v>0</v>
          </cell>
          <cell r="AQ19">
            <v>0</v>
          </cell>
        </row>
        <row r="20">
          <cell r="V20">
            <v>0</v>
          </cell>
          <cell r="W20">
            <v>0</v>
          </cell>
          <cell r="Z20">
            <v>0</v>
          </cell>
          <cell r="AA20">
            <v>0</v>
          </cell>
          <cell r="AD20">
            <v>0</v>
          </cell>
          <cell r="AE20">
            <v>0</v>
          </cell>
          <cell r="AH20">
            <v>0</v>
          </cell>
          <cell r="AI20">
            <v>0</v>
          </cell>
          <cell r="AL20">
            <v>0</v>
          </cell>
          <cell r="AM20">
            <v>0</v>
          </cell>
          <cell r="AP20">
            <v>0</v>
          </cell>
          <cell r="AQ20">
            <v>0</v>
          </cell>
        </row>
        <row r="21">
          <cell r="V21">
            <v>0.4847405337168007</v>
          </cell>
          <cell r="W21">
            <v>0.4847405337168007</v>
          </cell>
          <cell r="Z21">
            <v>0.73476885016864746</v>
          </cell>
          <cell r="AA21">
            <v>0.73476885016864746</v>
          </cell>
          <cell r="AD21">
            <v>0.7683352942911118</v>
          </cell>
          <cell r="AE21">
            <v>0.7683352942911118</v>
          </cell>
          <cell r="AH21">
            <v>0.82359930212618127</v>
          </cell>
          <cell r="AI21">
            <v>0.82359930212618127</v>
          </cell>
          <cell r="AL21">
            <v>0.86226410710214163</v>
          </cell>
          <cell r="AM21">
            <v>0.86226410710214163</v>
          </cell>
          <cell r="AP21">
            <v>0.90404321572851143</v>
          </cell>
          <cell r="AQ21">
            <v>0.90404321572851143</v>
          </cell>
        </row>
        <row r="22">
          <cell r="V22">
            <v>0</v>
          </cell>
          <cell r="W22">
            <v>0</v>
          </cell>
          <cell r="Z22">
            <v>0</v>
          </cell>
          <cell r="AA22">
            <v>0</v>
          </cell>
          <cell r="AD22">
            <v>0</v>
          </cell>
          <cell r="AE22">
            <v>0</v>
          </cell>
          <cell r="AH22">
            <v>0</v>
          </cell>
          <cell r="AI22">
            <v>0</v>
          </cell>
          <cell r="AL22">
            <v>0</v>
          </cell>
          <cell r="AM22">
            <v>0</v>
          </cell>
          <cell r="AP22">
            <v>0</v>
          </cell>
          <cell r="AQ22">
            <v>0</v>
          </cell>
        </row>
        <row r="23">
          <cell r="V23">
            <v>0</v>
          </cell>
          <cell r="W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</row>
        <row r="24">
          <cell r="V24">
            <v>0</v>
          </cell>
          <cell r="W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</row>
        <row r="25">
          <cell r="V25">
            <v>0</v>
          </cell>
          <cell r="W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</row>
        <row r="26">
          <cell r="V26">
            <v>0</v>
          </cell>
          <cell r="W26">
            <v>0</v>
          </cell>
          <cell r="Z26">
            <v>0</v>
          </cell>
          <cell r="AA26">
            <v>0</v>
          </cell>
          <cell r="AD26">
            <v>0</v>
          </cell>
          <cell r="AE26">
            <v>0</v>
          </cell>
          <cell r="AH26">
            <v>0</v>
          </cell>
          <cell r="AI26">
            <v>0</v>
          </cell>
          <cell r="AL26">
            <v>0</v>
          </cell>
          <cell r="AM26">
            <v>0</v>
          </cell>
          <cell r="AP26">
            <v>0</v>
          </cell>
          <cell r="AQ26">
            <v>0</v>
          </cell>
        </row>
        <row r="27">
          <cell r="V27">
            <v>0</v>
          </cell>
          <cell r="W27">
            <v>0</v>
          </cell>
          <cell r="Z27">
            <v>0</v>
          </cell>
          <cell r="AA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L27">
            <v>0</v>
          </cell>
          <cell r="AM27">
            <v>0</v>
          </cell>
          <cell r="AP27">
            <v>0</v>
          </cell>
          <cell r="AQ27">
            <v>0</v>
          </cell>
        </row>
        <row r="28">
          <cell r="V28">
            <v>0</v>
          </cell>
          <cell r="W28">
            <v>0</v>
          </cell>
          <cell r="Z28">
            <v>0</v>
          </cell>
          <cell r="AA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L28">
            <v>0</v>
          </cell>
          <cell r="AM28">
            <v>0</v>
          </cell>
          <cell r="AP28">
            <v>0</v>
          </cell>
          <cell r="AQ28">
            <v>0</v>
          </cell>
        </row>
        <row r="29">
          <cell r="V29">
            <v>0</v>
          </cell>
          <cell r="W29">
            <v>0</v>
          </cell>
          <cell r="Z29">
            <v>0</v>
          </cell>
          <cell r="AA29">
            <v>0</v>
          </cell>
          <cell r="AD29">
            <v>0</v>
          </cell>
          <cell r="AE29">
            <v>0</v>
          </cell>
          <cell r="AH29">
            <v>0</v>
          </cell>
          <cell r="AI29">
            <v>0</v>
          </cell>
          <cell r="AL29">
            <v>0</v>
          </cell>
          <cell r="AM29">
            <v>0</v>
          </cell>
          <cell r="AP29">
            <v>0</v>
          </cell>
          <cell r="AQ29">
            <v>0</v>
          </cell>
        </row>
        <row r="30">
          <cell r="V30">
            <v>0</v>
          </cell>
          <cell r="W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</row>
        <row r="31">
          <cell r="V31">
            <v>0</v>
          </cell>
          <cell r="W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</row>
        <row r="32">
          <cell r="V32">
            <v>0</v>
          </cell>
          <cell r="W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</row>
        <row r="33">
          <cell r="V33">
            <v>0</v>
          </cell>
          <cell r="W33">
            <v>0</v>
          </cell>
          <cell r="Z33">
            <v>0</v>
          </cell>
          <cell r="AA33">
            <v>0</v>
          </cell>
          <cell r="AD33">
            <v>0</v>
          </cell>
          <cell r="AE33">
            <v>0</v>
          </cell>
          <cell r="AH33">
            <v>0</v>
          </cell>
          <cell r="AI33">
            <v>0</v>
          </cell>
          <cell r="AL33">
            <v>0</v>
          </cell>
          <cell r="AM33">
            <v>0</v>
          </cell>
          <cell r="AP33">
            <v>0</v>
          </cell>
          <cell r="AQ33">
            <v>0</v>
          </cell>
        </row>
        <row r="34">
          <cell r="V34">
            <v>0</v>
          </cell>
          <cell r="W34">
            <v>0</v>
          </cell>
          <cell r="Z34">
            <v>0</v>
          </cell>
          <cell r="AA34">
            <v>0</v>
          </cell>
          <cell r="AD34">
            <v>0</v>
          </cell>
          <cell r="AE34">
            <v>0</v>
          </cell>
          <cell r="AH34">
            <v>0</v>
          </cell>
          <cell r="AI34">
            <v>0</v>
          </cell>
          <cell r="AL34">
            <v>0</v>
          </cell>
          <cell r="AM34">
            <v>0</v>
          </cell>
          <cell r="AP34">
            <v>0</v>
          </cell>
          <cell r="AQ34">
            <v>0</v>
          </cell>
        </row>
        <row r="35">
          <cell r="V35">
            <v>0</v>
          </cell>
          <cell r="W35">
            <v>0</v>
          </cell>
          <cell r="Z35">
            <v>0</v>
          </cell>
          <cell r="AA35">
            <v>0</v>
          </cell>
          <cell r="AD35">
            <v>0</v>
          </cell>
          <cell r="AE35">
            <v>0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P35">
            <v>0</v>
          </cell>
          <cell r="AQ35">
            <v>0</v>
          </cell>
        </row>
        <row r="36">
          <cell r="V36">
            <v>0</v>
          </cell>
          <cell r="W36">
            <v>0</v>
          </cell>
          <cell r="Z36">
            <v>0</v>
          </cell>
          <cell r="AA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P36">
            <v>0</v>
          </cell>
          <cell r="AQ36">
            <v>0</v>
          </cell>
        </row>
        <row r="37">
          <cell r="V37">
            <v>0</v>
          </cell>
          <cell r="W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</row>
        <row r="38">
          <cell r="V38">
            <v>4.8089235070675453E-2</v>
          </cell>
          <cell r="W38">
            <v>0.24044617535337726</v>
          </cell>
          <cell r="Z38">
            <v>6.8625338683372533E-2</v>
          </cell>
          <cell r="AA38">
            <v>0.34312669341686264</v>
          </cell>
          <cell r="AD38">
            <v>9.6092442083617238E-2</v>
          </cell>
          <cell r="AE38">
            <v>0.48046221041808618</v>
          </cell>
          <cell r="AH38">
            <v>0.29963982174218057</v>
          </cell>
          <cell r="AI38">
            <v>1.4981991087109028</v>
          </cell>
          <cell r="AL38">
            <v>0.41743669807617195</v>
          </cell>
          <cell r="AM38">
            <v>2.0871834903808599</v>
          </cell>
          <cell r="AP38">
            <v>0.77064292374344301</v>
          </cell>
          <cell r="AQ38">
            <v>3.8532146187172152</v>
          </cell>
        </row>
        <row r="39">
          <cell r="V39">
            <v>0</v>
          </cell>
          <cell r="W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</row>
        <row r="40">
          <cell r="V40">
            <v>0</v>
          </cell>
          <cell r="W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H40">
            <v>0</v>
          </cell>
          <cell r="AI40">
            <v>0</v>
          </cell>
          <cell r="AL40">
            <v>0</v>
          </cell>
          <cell r="AM40">
            <v>0</v>
          </cell>
          <cell r="AP40">
            <v>0</v>
          </cell>
          <cell r="AQ40">
            <v>0</v>
          </cell>
        </row>
        <row r="41">
          <cell r="V41">
            <v>0</v>
          </cell>
          <cell r="W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H41">
            <v>0</v>
          </cell>
          <cell r="AI41">
            <v>0</v>
          </cell>
          <cell r="AL41">
            <v>0</v>
          </cell>
          <cell r="AM41">
            <v>0</v>
          </cell>
          <cell r="AP41">
            <v>0</v>
          </cell>
          <cell r="AQ41">
            <v>0</v>
          </cell>
        </row>
        <row r="42">
          <cell r="V42">
            <v>0</v>
          </cell>
          <cell r="W42">
            <v>0</v>
          </cell>
          <cell r="Z42">
            <v>0</v>
          </cell>
          <cell r="AA42">
            <v>0</v>
          </cell>
          <cell r="AD42">
            <v>0</v>
          </cell>
          <cell r="AE42">
            <v>0</v>
          </cell>
          <cell r="AH42">
            <v>0</v>
          </cell>
          <cell r="AI42">
            <v>0</v>
          </cell>
          <cell r="AL42">
            <v>0</v>
          </cell>
          <cell r="AM42">
            <v>0</v>
          </cell>
          <cell r="AP42">
            <v>0</v>
          </cell>
          <cell r="AQ42">
            <v>0</v>
          </cell>
        </row>
        <row r="43">
          <cell r="V43">
            <v>0</v>
          </cell>
          <cell r="W43">
            <v>0</v>
          </cell>
          <cell r="Z43">
            <v>0</v>
          </cell>
          <cell r="AA43">
            <v>0</v>
          </cell>
          <cell r="AD43">
            <v>0</v>
          </cell>
          <cell r="AE43">
            <v>0</v>
          </cell>
          <cell r="AH43">
            <v>0</v>
          </cell>
          <cell r="AI43">
            <v>0</v>
          </cell>
          <cell r="AL43">
            <v>0</v>
          </cell>
          <cell r="AM43">
            <v>0</v>
          </cell>
          <cell r="AP43">
            <v>0</v>
          </cell>
          <cell r="AQ43">
            <v>0</v>
          </cell>
        </row>
        <row r="44">
          <cell r="V44">
            <v>0</v>
          </cell>
          <cell r="W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</row>
        <row r="45">
          <cell r="V45">
            <v>0</v>
          </cell>
          <cell r="W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</row>
        <row r="46">
          <cell r="V46">
            <v>0</v>
          </cell>
          <cell r="W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</row>
        <row r="47">
          <cell r="V47">
            <v>0</v>
          </cell>
          <cell r="W47">
            <v>0</v>
          </cell>
          <cell r="Z47">
            <v>0</v>
          </cell>
          <cell r="AA47">
            <v>0</v>
          </cell>
          <cell r="AD47">
            <v>0</v>
          </cell>
          <cell r="AE47">
            <v>0</v>
          </cell>
          <cell r="AH47">
            <v>0</v>
          </cell>
          <cell r="AI47">
            <v>0</v>
          </cell>
          <cell r="AL47">
            <v>0</v>
          </cell>
          <cell r="AM47">
            <v>0</v>
          </cell>
          <cell r="AP47">
            <v>0</v>
          </cell>
          <cell r="AQ47">
            <v>0</v>
          </cell>
        </row>
        <row r="48">
          <cell r="V48">
            <v>0</v>
          </cell>
          <cell r="W48">
            <v>0</v>
          </cell>
          <cell r="Z48">
            <v>0</v>
          </cell>
          <cell r="AA48">
            <v>0</v>
          </cell>
          <cell r="AD48">
            <v>0</v>
          </cell>
          <cell r="AE48">
            <v>0</v>
          </cell>
          <cell r="AH48">
            <v>0</v>
          </cell>
          <cell r="AI48">
            <v>0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</row>
        <row r="49">
          <cell r="V49">
            <v>0</v>
          </cell>
          <cell r="W49">
            <v>0</v>
          </cell>
          <cell r="Z49">
            <v>0</v>
          </cell>
          <cell r="AA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P49">
            <v>0</v>
          </cell>
          <cell r="AQ49">
            <v>0</v>
          </cell>
        </row>
        <row r="50">
          <cell r="V50">
            <v>0</v>
          </cell>
          <cell r="W50">
            <v>0</v>
          </cell>
          <cell r="Z50">
            <v>0</v>
          </cell>
          <cell r="AA50">
            <v>0</v>
          </cell>
          <cell r="AD50">
            <v>0</v>
          </cell>
          <cell r="AE50">
            <v>0</v>
          </cell>
          <cell r="AH50">
            <v>0</v>
          </cell>
          <cell r="AI50">
            <v>0</v>
          </cell>
          <cell r="AL50">
            <v>0</v>
          </cell>
          <cell r="AM50">
            <v>0</v>
          </cell>
          <cell r="AP50">
            <v>0</v>
          </cell>
          <cell r="AQ50">
            <v>0</v>
          </cell>
        </row>
        <row r="51">
          <cell r="V51">
            <v>0</v>
          </cell>
          <cell r="W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</row>
        <row r="52">
          <cell r="V52">
            <v>0</v>
          </cell>
          <cell r="W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</row>
        <row r="53">
          <cell r="V53">
            <v>0</v>
          </cell>
          <cell r="W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</row>
        <row r="54">
          <cell r="V54">
            <v>0</v>
          </cell>
          <cell r="W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H54">
            <v>0</v>
          </cell>
          <cell r="AI54">
            <v>0</v>
          </cell>
          <cell r="AL54">
            <v>0</v>
          </cell>
          <cell r="AM54">
            <v>0</v>
          </cell>
          <cell r="AP54">
            <v>0</v>
          </cell>
          <cell r="AQ54">
            <v>0</v>
          </cell>
        </row>
        <row r="55">
          <cell r="V55">
            <v>0</v>
          </cell>
          <cell r="W55">
            <v>0</v>
          </cell>
          <cell r="Z55">
            <v>0</v>
          </cell>
          <cell r="AA55">
            <v>0</v>
          </cell>
          <cell r="AD55">
            <v>0</v>
          </cell>
          <cell r="AE55">
            <v>0</v>
          </cell>
          <cell r="AH55">
            <v>0</v>
          </cell>
          <cell r="AI55">
            <v>0</v>
          </cell>
          <cell r="AL55">
            <v>0</v>
          </cell>
          <cell r="AM55">
            <v>0</v>
          </cell>
          <cell r="AP55">
            <v>0</v>
          </cell>
          <cell r="AQ55">
            <v>0</v>
          </cell>
        </row>
        <row r="56">
          <cell r="V56">
            <v>0</v>
          </cell>
          <cell r="W56">
            <v>0</v>
          </cell>
          <cell r="Z56">
            <v>0</v>
          </cell>
          <cell r="AA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L56">
            <v>0</v>
          </cell>
          <cell r="AM56">
            <v>0</v>
          </cell>
          <cell r="AP56">
            <v>0</v>
          </cell>
          <cell r="AQ56">
            <v>0</v>
          </cell>
        </row>
        <row r="57">
          <cell r="V57">
            <v>0</v>
          </cell>
          <cell r="W57">
            <v>0</v>
          </cell>
          <cell r="Z57">
            <v>0</v>
          </cell>
          <cell r="AA57">
            <v>0</v>
          </cell>
          <cell r="AD57">
            <v>0</v>
          </cell>
          <cell r="AE57">
            <v>0</v>
          </cell>
          <cell r="AH57">
            <v>0</v>
          </cell>
          <cell r="AI57">
            <v>0</v>
          </cell>
          <cell r="AL57">
            <v>0</v>
          </cell>
          <cell r="AM57">
            <v>0</v>
          </cell>
          <cell r="AP57">
            <v>0</v>
          </cell>
          <cell r="AQ57">
            <v>0</v>
          </cell>
        </row>
        <row r="58">
          <cell r="V58">
            <v>0</v>
          </cell>
          <cell r="W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</row>
        <row r="59">
          <cell r="V59">
            <v>0</v>
          </cell>
          <cell r="W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</row>
        <row r="60">
          <cell r="V60">
            <v>0</v>
          </cell>
          <cell r="W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</row>
        <row r="61">
          <cell r="V61">
            <v>0</v>
          </cell>
          <cell r="W61">
            <v>0</v>
          </cell>
          <cell r="Z61">
            <v>0</v>
          </cell>
          <cell r="AA61">
            <v>0</v>
          </cell>
          <cell r="AD61">
            <v>0</v>
          </cell>
          <cell r="AE61">
            <v>0</v>
          </cell>
          <cell r="AH61">
            <v>0</v>
          </cell>
          <cell r="AI61">
            <v>0</v>
          </cell>
          <cell r="AL61">
            <v>0</v>
          </cell>
          <cell r="AM61">
            <v>0</v>
          </cell>
          <cell r="AP61">
            <v>0</v>
          </cell>
          <cell r="AQ61">
            <v>0</v>
          </cell>
        </row>
        <row r="62">
          <cell r="V62">
            <v>0</v>
          </cell>
          <cell r="W62">
            <v>0</v>
          </cell>
          <cell r="Z62">
            <v>0</v>
          </cell>
          <cell r="AA62">
            <v>0</v>
          </cell>
          <cell r="AD62">
            <v>0</v>
          </cell>
          <cell r="AE62">
            <v>0</v>
          </cell>
          <cell r="AH62">
            <v>0</v>
          </cell>
          <cell r="AI62">
            <v>0</v>
          </cell>
          <cell r="AL62">
            <v>0</v>
          </cell>
          <cell r="AM62">
            <v>0</v>
          </cell>
          <cell r="AP62">
            <v>0</v>
          </cell>
          <cell r="AQ62">
            <v>0</v>
          </cell>
        </row>
        <row r="63">
          <cell r="V63">
            <v>0</v>
          </cell>
          <cell r="W63">
            <v>0</v>
          </cell>
          <cell r="Z63">
            <v>0</v>
          </cell>
          <cell r="AA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L63">
            <v>0</v>
          </cell>
          <cell r="AM63">
            <v>0</v>
          </cell>
          <cell r="AP63">
            <v>0</v>
          </cell>
          <cell r="AQ63">
            <v>0</v>
          </cell>
        </row>
        <row r="64">
          <cell r="V64">
            <v>0</v>
          </cell>
          <cell r="W64">
            <v>0</v>
          </cell>
          <cell r="Z64">
            <v>0</v>
          </cell>
          <cell r="AA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L64">
            <v>0</v>
          </cell>
          <cell r="AM64">
            <v>0</v>
          </cell>
          <cell r="AP64">
            <v>0</v>
          </cell>
          <cell r="AQ64">
            <v>0</v>
          </cell>
        </row>
        <row r="65">
          <cell r="V65">
            <v>0</v>
          </cell>
          <cell r="W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</row>
        <row r="66">
          <cell r="V66">
            <v>0</v>
          </cell>
          <cell r="W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</row>
        <row r="67">
          <cell r="V67">
            <v>0</v>
          </cell>
          <cell r="W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</row>
        <row r="68">
          <cell r="V68">
            <v>0</v>
          </cell>
          <cell r="W68">
            <v>0</v>
          </cell>
          <cell r="Z68">
            <v>0</v>
          </cell>
          <cell r="AA68">
            <v>0</v>
          </cell>
          <cell r="AD68">
            <v>0</v>
          </cell>
          <cell r="AE68">
            <v>0</v>
          </cell>
          <cell r="AH68">
            <v>0</v>
          </cell>
          <cell r="AI68">
            <v>0</v>
          </cell>
          <cell r="AL68">
            <v>0</v>
          </cell>
          <cell r="AM68">
            <v>0</v>
          </cell>
          <cell r="AP68">
            <v>0</v>
          </cell>
          <cell r="AQ68">
            <v>0</v>
          </cell>
        </row>
        <row r="69">
          <cell r="V69">
            <v>0</v>
          </cell>
          <cell r="W69">
            <v>0</v>
          </cell>
          <cell r="Z69">
            <v>0</v>
          </cell>
          <cell r="AA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L69">
            <v>0</v>
          </cell>
          <cell r="AM69">
            <v>0</v>
          </cell>
          <cell r="AP69">
            <v>0</v>
          </cell>
          <cell r="AQ69">
            <v>0</v>
          </cell>
        </row>
        <row r="70">
          <cell r="V70">
            <v>0</v>
          </cell>
          <cell r="W70">
            <v>0</v>
          </cell>
          <cell r="Z70">
            <v>0</v>
          </cell>
          <cell r="AA70">
            <v>0</v>
          </cell>
          <cell r="AD70">
            <v>0</v>
          </cell>
          <cell r="AE70">
            <v>0</v>
          </cell>
          <cell r="AH70">
            <v>0</v>
          </cell>
          <cell r="AI70">
            <v>0</v>
          </cell>
          <cell r="AL70">
            <v>0</v>
          </cell>
          <cell r="AM70">
            <v>0</v>
          </cell>
          <cell r="AP70">
            <v>0</v>
          </cell>
          <cell r="AQ70">
            <v>0</v>
          </cell>
        </row>
        <row r="71">
          <cell r="V71">
            <v>0</v>
          </cell>
          <cell r="W71">
            <v>0</v>
          </cell>
          <cell r="Z71">
            <v>0</v>
          </cell>
          <cell r="AA71">
            <v>0</v>
          </cell>
          <cell r="AD71">
            <v>0</v>
          </cell>
          <cell r="AE71">
            <v>0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P71">
            <v>0</v>
          </cell>
          <cell r="AQ71">
            <v>0</v>
          </cell>
        </row>
        <row r="72">
          <cell r="V72">
            <v>0</v>
          </cell>
          <cell r="W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</row>
        <row r="73">
          <cell r="V73">
            <v>0</v>
          </cell>
          <cell r="W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</row>
        <row r="74">
          <cell r="V74">
            <v>0</v>
          </cell>
          <cell r="W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</row>
        <row r="75">
          <cell r="V75">
            <v>0</v>
          </cell>
          <cell r="W75">
            <v>0</v>
          </cell>
          <cell r="Z75">
            <v>0</v>
          </cell>
          <cell r="AA75">
            <v>0</v>
          </cell>
          <cell r="AD75">
            <v>0</v>
          </cell>
          <cell r="AE75">
            <v>0</v>
          </cell>
          <cell r="AH75">
            <v>0</v>
          </cell>
          <cell r="AI75">
            <v>0</v>
          </cell>
          <cell r="AL75">
            <v>0</v>
          </cell>
          <cell r="AM75">
            <v>0</v>
          </cell>
          <cell r="AP75">
            <v>0</v>
          </cell>
          <cell r="AQ75">
            <v>0</v>
          </cell>
        </row>
        <row r="76">
          <cell r="V76">
            <v>0</v>
          </cell>
          <cell r="W76">
            <v>0</v>
          </cell>
          <cell r="Z76">
            <v>0</v>
          </cell>
          <cell r="AA76">
            <v>0</v>
          </cell>
          <cell r="AD76">
            <v>0</v>
          </cell>
          <cell r="AE76">
            <v>0</v>
          </cell>
          <cell r="AH76">
            <v>0</v>
          </cell>
          <cell r="AI76">
            <v>0</v>
          </cell>
          <cell r="AL76">
            <v>0</v>
          </cell>
          <cell r="AM76">
            <v>0</v>
          </cell>
          <cell r="AP76">
            <v>0</v>
          </cell>
          <cell r="AQ76">
            <v>0</v>
          </cell>
        </row>
        <row r="77">
          <cell r="V77">
            <v>0</v>
          </cell>
          <cell r="W77">
            <v>0</v>
          </cell>
          <cell r="Z77">
            <v>0</v>
          </cell>
          <cell r="AA77">
            <v>0</v>
          </cell>
          <cell r="AD77">
            <v>0</v>
          </cell>
          <cell r="AE77">
            <v>0</v>
          </cell>
          <cell r="AH77">
            <v>0</v>
          </cell>
          <cell r="AI77">
            <v>0</v>
          </cell>
          <cell r="AL77">
            <v>0</v>
          </cell>
          <cell r="AM77">
            <v>0</v>
          </cell>
          <cell r="AP77">
            <v>0</v>
          </cell>
          <cell r="AQ77">
            <v>0</v>
          </cell>
        </row>
        <row r="78">
          <cell r="V78">
            <v>0</v>
          </cell>
          <cell r="W78">
            <v>0</v>
          </cell>
          <cell r="Z78">
            <v>0</v>
          </cell>
          <cell r="AA78">
            <v>0</v>
          </cell>
          <cell r="AD78">
            <v>0</v>
          </cell>
          <cell r="AE78">
            <v>0</v>
          </cell>
          <cell r="AH78">
            <v>0</v>
          </cell>
          <cell r="AI78">
            <v>0</v>
          </cell>
          <cell r="AL78">
            <v>0</v>
          </cell>
          <cell r="AM78">
            <v>0</v>
          </cell>
          <cell r="AP78">
            <v>0</v>
          </cell>
          <cell r="AQ78">
            <v>0</v>
          </cell>
        </row>
        <row r="79">
          <cell r="V79">
            <v>0</v>
          </cell>
          <cell r="W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</row>
        <row r="80">
          <cell r="V80">
            <v>0</v>
          </cell>
          <cell r="W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</row>
        <row r="81">
          <cell r="V81">
            <v>0</v>
          </cell>
          <cell r="W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</row>
        <row r="82">
          <cell r="V82">
            <v>0</v>
          </cell>
          <cell r="W82">
            <v>0</v>
          </cell>
          <cell r="Z82">
            <v>0</v>
          </cell>
          <cell r="AA82">
            <v>0</v>
          </cell>
          <cell r="AD82">
            <v>0</v>
          </cell>
          <cell r="AE82">
            <v>0</v>
          </cell>
          <cell r="AH82">
            <v>0</v>
          </cell>
          <cell r="AI82">
            <v>0</v>
          </cell>
          <cell r="AL82">
            <v>0</v>
          </cell>
          <cell r="AM82">
            <v>0</v>
          </cell>
          <cell r="AP82">
            <v>0</v>
          </cell>
          <cell r="AQ82">
            <v>0</v>
          </cell>
        </row>
        <row r="83">
          <cell r="V83">
            <v>0</v>
          </cell>
          <cell r="W83">
            <v>0</v>
          </cell>
          <cell r="Z83">
            <v>0</v>
          </cell>
          <cell r="AA83">
            <v>0</v>
          </cell>
          <cell r="AD83">
            <v>0</v>
          </cell>
          <cell r="AE83">
            <v>0</v>
          </cell>
          <cell r="AH83">
            <v>0</v>
          </cell>
          <cell r="AI83">
            <v>0</v>
          </cell>
          <cell r="AL83">
            <v>0</v>
          </cell>
          <cell r="AM83">
            <v>0</v>
          </cell>
          <cell r="AP83">
            <v>0</v>
          </cell>
          <cell r="AQ83">
            <v>0</v>
          </cell>
        </row>
        <row r="84">
          <cell r="V84">
            <v>0</v>
          </cell>
          <cell r="W84">
            <v>0</v>
          </cell>
          <cell r="Z84">
            <v>0</v>
          </cell>
          <cell r="AA84">
            <v>0</v>
          </cell>
          <cell r="AD84">
            <v>0</v>
          </cell>
          <cell r="AE84">
            <v>0</v>
          </cell>
          <cell r="AH84">
            <v>0</v>
          </cell>
          <cell r="AI84">
            <v>0</v>
          </cell>
          <cell r="AL84">
            <v>0</v>
          </cell>
          <cell r="AM84">
            <v>0</v>
          </cell>
          <cell r="AP84">
            <v>0</v>
          </cell>
          <cell r="AQ84">
            <v>0</v>
          </cell>
        </row>
        <row r="85">
          <cell r="V85">
            <v>0</v>
          </cell>
          <cell r="W85">
            <v>0</v>
          </cell>
          <cell r="Z85">
            <v>0</v>
          </cell>
          <cell r="AA85">
            <v>0</v>
          </cell>
          <cell r="AD85">
            <v>0</v>
          </cell>
          <cell r="AE85">
            <v>0</v>
          </cell>
          <cell r="AH85">
            <v>0</v>
          </cell>
          <cell r="AI85">
            <v>0</v>
          </cell>
          <cell r="AL85">
            <v>0</v>
          </cell>
          <cell r="AM85">
            <v>0</v>
          </cell>
          <cell r="AP85">
            <v>0</v>
          </cell>
          <cell r="AQ85">
            <v>0</v>
          </cell>
        </row>
        <row r="86">
          <cell r="V86">
            <v>0</v>
          </cell>
          <cell r="W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</row>
        <row r="87">
          <cell r="V87">
            <v>0</v>
          </cell>
          <cell r="W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</row>
        <row r="88">
          <cell r="V88">
            <v>0</v>
          </cell>
          <cell r="W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</row>
        <row r="89">
          <cell r="V89">
            <v>0</v>
          </cell>
          <cell r="W89">
            <v>0</v>
          </cell>
          <cell r="Z89">
            <v>0</v>
          </cell>
          <cell r="AA89">
            <v>0</v>
          </cell>
          <cell r="AD89">
            <v>0</v>
          </cell>
          <cell r="AE89">
            <v>0</v>
          </cell>
          <cell r="AH89">
            <v>0</v>
          </cell>
          <cell r="AI89">
            <v>0</v>
          </cell>
          <cell r="AL89">
            <v>0</v>
          </cell>
          <cell r="AM89">
            <v>0</v>
          </cell>
          <cell r="AP89">
            <v>0</v>
          </cell>
          <cell r="AQ89">
            <v>0</v>
          </cell>
        </row>
        <row r="90">
          <cell r="V90">
            <v>0</v>
          </cell>
          <cell r="W90">
            <v>0</v>
          </cell>
          <cell r="Z90">
            <v>0</v>
          </cell>
          <cell r="AA90">
            <v>0</v>
          </cell>
          <cell r="AD90">
            <v>0</v>
          </cell>
          <cell r="AE90">
            <v>0</v>
          </cell>
          <cell r="AH90">
            <v>0</v>
          </cell>
          <cell r="AI90">
            <v>0</v>
          </cell>
          <cell r="AL90">
            <v>0</v>
          </cell>
          <cell r="AM90">
            <v>0</v>
          </cell>
          <cell r="AP90">
            <v>0</v>
          </cell>
          <cell r="AQ90">
            <v>0</v>
          </cell>
        </row>
        <row r="91">
          <cell r="V91">
            <v>0</v>
          </cell>
          <cell r="W91">
            <v>0</v>
          </cell>
          <cell r="Z91">
            <v>0</v>
          </cell>
          <cell r="AA91">
            <v>0</v>
          </cell>
          <cell r="AD91">
            <v>0</v>
          </cell>
          <cell r="AE91">
            <v>0</v>
          </cell>
          <cell r="AH91">
            <v>0</v>
          </cell>
          <cell r="AI91">
            <v>0</v>
          </cell>
          <cell r="AL91">
            <v>0</v>
          </cell>
          <cell r="AM91">
            <v>0</v>
          </cell>
          <cell r="AP91">
            <v>0</v>
          </cell>
          <cell r="AQ91">
            <v>0</v>
          </cell>
        </row>
        <row r="92">
          <cell r="V92">
            <v>0</v>
          </cell>
          <cell r="W92">
            <v>0</v>
          </cell>
          <cell r="Z92">
            <v>0</v>
          </cell>
          <cell r="AA92">
            <v>0</v>
          </cell>
          <cell r="AD92">
            <v>0</v>
          </cell>
          <cell r="AE92">
            <v>0</v>
          </cell>
          <cell r="AH92">
            <v>0</v>
          </cell>
          <cell r="AI92">
            <v>0</v>
          </cell>
          <cell r="AL92">
            <v>0</v>
          </cell>
          <cell r="AM92">
            <v>0</v>
          </cell>
          <cell r="AP92">
            <v>0</v>
          </cell>
          <cell r="AQ92">
            <v>0</v>
          </cell>
        </row>
        <row r="93">
          <cell r="V93">
            <v>0</v>
          </cell>
          <cell r="W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</row>
        <row r="94">
          <cell r="V94">
            <v>0</v>
          </cell>
          <cell r="W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</row>
        <row r="95">
          <cell r="V95">
            <v>0</v>
          </cell>
          <cell r="W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</row>
        <row r="96">
          <cell r="V96">
            <v>0</v>
          </cell>
          <cell r="W96">
            <v>0</v>
          </cell>
          <cell r="Z96">
            <v>0</v>
          </cell>
          <cell r="AA96">
            <v>0</v>
          </cell>
          <cell r="AD96">
            <v>0</v>
          </cell>
          <cell r="AE96">
            <v>0</v>
          </cell>
          <cell r="AH96">
            <v>0</v>
          </cell>
          <cell r="AI96">
            <v>0</v>
          </cell>
          <cell r="AL96">
            <v>0</v>
          </cell>
          <cell r="AM96">
            <v>0</v>
          </cell>
          <cell r="AP96">
            <v>0</v>
          </cell>
          <cell r="AQ96">
            <v>0</v>
          </cell>
        </row>
        <row r="97">
          <cell r="V97">
            <v>0</v>
          </cell>
          <cell r="W97">
            <v>0</v>
          </cell>
          <cell r="Z97">
            <v>0</v>
          </cell>
          <cell r="AA97">
            <v>0</v>
          </cell>
          <cell r="AD97">
            <v>0</v>
          </cell>
          <cell r="AE97">
            <v>0</v>
          </cell>
          <cell r="AH97">
            <v>0</v>
          </cell>
          <cell r="AI97">
            <v>0</v>
          </cell>
          <cell r="AL97">
            <v>0</v>
          </cell>
          <cell r="AM97">
            <v>0</v>
          </cell>
          <cell r="AP97">
            <v>0</v>
          </cell>
          <cell r="AQ97">
            <v>0</v>
          </cell>
        </row>
        <row r="98">
          <cell r="V98">
            <v>0</v>
          </cell>
          <cell r="W98">
            <v>0</v>
          </cell>
          <cell r="Z98">
            <v>0</v>
          </cell>
          <cell r="AA98">
            <v>0</v>
          </cell>
          <cell r="AD98">
            <v>0</v>
          </cell>
          <cell r="AE98">
            <v>0</v>
          </cell>
          <cell r="AH98">
            <v>0</v>
          </cell>
          <cell r="AI98">
            <v>0</v>
          </cell>
          <cell r="AL98">
            <v>0</v>
          </cell>
          <cell r="AM98">
            <v>0</v>
          </cell>
          <cell r="AP98">
            <v>0</v>
          </cell>
          <cell r="AQ98">
            <v>0</v>
          </cell>
        </row>
        <row r="99">
          <cell r="V99">
            <v>0</v>
          </cell>
          <cell r="W99">
            <v>0</v>
          </cell>
          <cell r="Z99">
            <v>0</v>
          </cell>
          <cell r="AA99">
            <v>0</v>
          </cell>
          <cell r="AD99">
            <v>0</v>
          </cell>
          <cell r="AE99">
            <v>0</v>
          </cell>
          <cell r="AH99">
            <v>0</v>
          </cell>
          <cell r="AI99">
            <v>0</v>
          </cell>
          <cell r="AL99">
            <v>0</v>
          </cell>
          <cell r="AM99">
            <v>0</v>
          </cell>
          <cell r="AP99">
            <v>0</v>
          </cell>
          <cell r="AQ99">
            <v>0</v>
          </cell>
        </row>
        <row r="100">
          <cell r="V100">
            <v>0</v>
          </cell>
          <cell r="W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</row>
        <row r="101">
          <cell r="V101">
            <v>0</v>
          </cell>
          <cell r="W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</row>
        <row r="102">
          <cell r="V102">
            <v>0</v>
          </cell>
          <cell r="W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</row>
        <row r="103">
          <cell r="V103">
            <v>0</v>
          </cell>
          <cell r="W103">
            <v>0</v>
          </cell>
          <cell r="Z103">
            <v>0</v>
          </cell>
          <cell r="AA103">
            <v>0</v>
          </cell>
          <cell r="AD103">
            <v>0</v>
          </cell>
          <cell r="AE103">
            <v>0</v>
          </cell>
          <cell r="AH103">
            <v>0</v>
          </cell>
          <cell r="AI103">
            <v>0</v>
          </cell>
          <cell r="AL103">
            <v>0</v>
          </cell>
          <cell r="AM103">
            <v>0</v>
          </cell>
          <cell r="AP103">
            <v>0</v>
          </cell>
          <cell r="AQ103">
            <v>0</v>
          </cell>
        </row>
        <row r="104">
          <cell r="V104">
            <v>0</v>
          </cell>
          <cell r="W104">
            <v>0</v>
          </cell>
          <cell r="Z104">
            <v>0</v>
          </cell>
          <cell r="AA104">
            <v>0</v>
          </cell>
          <cell r="AD104">
            <v>0</v>
          </cell>
          <cell r="AE104">
            <v>0</v>
          </cell>
          <cell r="AH104">
            <v>0</v>
          </cell>
          <cell r="AI104">
            <v>0</v>
          </cell>
          <cell r="AL104">
            <v>0</v>
          </cell>
          <cell r="AM104">
            <v>0</v>
          </cell>
          <cell r="AP104">
            <v>0</v>
          </cell>
          <cell r="AQ104">
            <v>0</v>
          </cell>
        </row>
        <row r="105">
          <cell r="V105">
            <v>0</v>
          </cell>
          <cell r="W105">
            <v>0</v>
          </cell>
          <cell r="Z105">
            <v>0</v>
          </cell>
          <cell r="AA105">
            <v>0</v>
          </cell>
          <cell r="AD105">
            <v>0</v>
          </cell>
          <cell r="AE105">
            <v>0</v>
          </cell>
          <cell r="AH105">
            <v>0</v>
          </cell>
          <cell r="AI105">
            <v>0</v>
          </cell>
          <cell r="AL105">
            <v>0</v>
          </cell>
          <cell r="AM105">
            <v>0</v>
          </cell>
          <cell r="AP105">
            <v>0</v>
          </cell>
          <cell r="AQ105">
            <v>0</v>
          </cell>
        </row>
        <row r="106">
          <cell r="V106">
            <v>0</v>
          </cell>
          <cell r="W106">
            <v>0</v>
          </cell>
          <cell r="Z106">
            <v>0</v>
          </cell>
          <cell r="AA106">
            <v>0</v>
          </cell>
          <cell r="AD106">
            <v>0</v>
          </cell>
          <cell r="AE106">
            <v>0</v>
          </cell>
          <cell r="AH106">
            <v>0</v>
          </cell>
          <cell r="AI106">
            <v>0</v>
          </cell>
          <cell r="AL106">
            <v>0</v>
          </cell>
          <cell r="AM106">
            <v>0</v>
          </cell>
          <cell r="AP106">
            <v>0</v>
          </cell>
          <cell r="AQ106">
            <v>0</v>
          </cell>
        </row>
        <row r="107">
          <cell r="V107">
            <v>0</v>
          </cell>
          <cell r="W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</row>
        <row r="108">
          <cell r="V108">
            <v>0</v>
          </cell>
          <cell r="W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</row>
        <row r="109">
          <cell r="V109">
            <v>0</v>
          </cell>
          <cell r="W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</row>
        <row r="110">
          <cell r="V110">
            <v>0</v>
          </cell>
          <cell r="W110">
            <v>0</v>
          </cell>
          <cell r="Z110">
            <v>0</v>
          </cell>
          <cell r="AA110">
            <v>0</v>
          </cell>
          <cell r="AD110">
            <v>0</v>
          </cell>
          <cell r="AE110">
            <v>0</v>
          </cell>
          <cell r="AH110">
            <v>0</v>
          </cell>
          <cell r="AI110">
            <v>0</v>
          </cell>
          <cell r="AL110">
            <v>0</v>
          </cell>
          <cell r="AM110">
            <v>0</v>
          </cell>
          <cell r="AP110">
            <v>0</v>
          </cell>
          <cell r="AQ110">
            <v>0</v>
          </cell>
        </row>
        <row r="111">
          <cell r="V111">
            <v>0</v>
          </cell>
          <cell r="W111">
            <v>0</v>
          </cell>
          <cell r="Z111">
            <v>0</v>
          </cell>
          <cell r="AA111">
            <v>0</v>
          </cell>
          <cell r="AD111">
            <v>0</v>
          </cell>
          <cell r="AE111">
            <v>0</v>
          </cell>
          <cell r="AH111">
            <v>0</v>
          </cell>
          <cell r="AI111">
            <v>0</v>
          </cell>
          <cell r="AL111">
            <v>0</v>
          </cell>
          <cell r="AM111">
            <v>0</v>
          </cell>
          <cell r="AP111">
            <v>0</v>
          </cell>
          <cell r="AQ111">
            <v>0</v>
          </cell>
        </row>
        <row r="112">
          <cell r="V112">
            <v>0</v>
          </cell>
          <cell r="W112">
            <v>0</v>
          </cell>
          <cell r="Z112">
            <v>0</v>
          </cell>
          <cell r="AA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L112">
            <v>0</v>
          </cell>
          <cell r="AM112">
            <v>0</v>
          </cell>
          <cell r="AP112">
            <v>0</v>
          </cell>
          <cell r="AQ112">
            <v>0</v>
          </cell>
        </row>
        <row r="113">
          <cell r="V113">
            <v>0</v>
          </cell>
          <cell r="W113">
            <v>0</v>
          </cell>
          <cell r="Z113">
            <v>0</v>
          </cell>
          <cell r="AA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L113">
            <v>0</v>
          </cell>
          <cell r="AM113">
            <v>0</v>
          </cell>
          <cell r="AP113">
            <v>0</v>
          </cell>
          <cell r="AQ113">
            <v>0</v>
          </cell>
        </row>
        <row r="114">
          <cell r="V114">
            <v>0</v>
          </cell>
          <cell r="W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</row>
        <row r="115">
          <cell r="V115">
            <v>0</v>
          </cell>
          <cell r="W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</row>
        <row r="116">
          <cell r="V116">
            <v>0</v>
          </cell>
          <cell r="W116">
            <v>2.4232841182879064</v>
          </cell>
          <cell r="Z116">
            <v>0</v>
          </cell>
          <cell r="AA116">
            <v>2.9714273805994447</v>
          </cell>
          <cell r="AD116">
            <v>0</v>
          </cell>
          <cell r="AE116">
            <v>3.4156742207761779</v>
          </cell>
          <cell r="AH116">
            <v>0</v>
          </cell>
          <cell r="AI116">
            <v>3.9394040229522966</v>
          </cell>
          <cell r="AL116">
            <v>0</v>
          </cell>
          <cell r="AM116">
            <v>6.0116828219935865</v>
          </cell>
          <cell r="AP116">
            <v>0</v>
          </cell>
          <cell r="AQ116">
            <v>6.7716908522639088</v>
          </cell>
        </row>
        <row r="117">
          <cell r="V117">
            <v>4.9607320302625366</v>
          </cell>
          <cell r="W117">
            <v>8.9293176544725661</v>
          </cell>
          <cell r="Z117">
            <v>8.2895123035692393</v>
          </cell>
          <cell r="AA117">
            <v>14.921122146424631</v>
          </cell>
          <cell r="AD117">
            <v>11.061865421140332</v>
          </cell>
          <cell r="AE117">
            <v>19.911357758052599</v>
          </cell>
          <cell r="AH117">
            <v>13.026719933324662</v>
          </cell>
          <cell r="AI117">
            <v>23.44809587998439</v>
          </cell>
          <cell r="AL117">
            <v>14.412164830208297</v>
          </cell>
          <cell r="AM117">
            <v>25.941896694374936</v>
          </cell>
          <cell r="AP117">
            <v>14.825825602106313</v>
          </cell>
          <cell r="AQ117">
            <v>26.686486083791362</v>
          </cell>
        </row>
        <row r="118">
          <cell r="V118">
            <v>4.2523453894576519</v>
          </cell>
          <cell r="W118">
            <v>8.5046907789153039</v>
          </cell>
          <cell r="Z118">
            <v>5.5456923304097421</v>
          </cell>
          <cell r="AA118">
            <v>11.091384660819484</v>
          </cell>
          <cell r="AD118">
            <v>6.7804166736842495</v>
          </cell>
          <cell r="AE118">
            <v>13.560833347368499</v>
          </cell>
          <cell r="AH118">
            <v>7.8081097748046639</v>
          </cell>
          <cell r="AI118">
            <v>15.616219549609328</v>
          </cell>
          <cell r="AL118">
            <v>8.6500242832737531</v>
          </cell>
          <cell r="AM118">
            <v>17.300048566547506</v>
          </cell>
          <cell r="AP118">
            <v>8.8935038938828992</v>
          </cell>
          <cell r="AQ118">
            <v>17.787007787765798</v>
          </cell>
        </row>
        <row r="119">
          <cell r="V119">
            <v>0</v>
          </cell>
          <cell r="W119">
            <v>0</v>
          </cell>
          <cell r="Z119">
            <v>0</v>
          </cell>
          <cell r="AA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L119">
            <v>0</v>
          </cell>
          <cell r="AM119">
            <v>0</v>
          </cell>
          <cell r="AP119">
            <v>0</v>
          </cell>
          <cell r="AQ119">
            <v>0</v>
          </cell>
        </row>
        <row r="120">
          <cell r="V120">
            <v>0</v>
          </cell>
          <cell r="W120">
            <v>0</v>
          </cell>
          <cell r="Z120">
            <v>0</v>
          </cell>
          <cell r="AA120">
            <v>0</v>
          </cell>
          <cell r="AD120">
            <v>0</v>
          </cell>
          <cell r="AE120">
            <v>0</v>
          </cell>
          <cell r="AH120">
            <v>0</v>
          </cell>
          <cell r="AI120">
            <v>0</v>
          </cell>
          <cell r="AL120">
            <v>0</v>
          </cell>
          <cell r="AM120">
            <v>0</v>
          </cell>
          <cell r="AP120">
            <v>0</v>
          </cell>
          <cell r="AQ120">
            <v>0</v>
          </cell>
        </row>
        <row r="121">
          <cell r="V121">
            <v>0</v>
          </cell>
          <cell r="W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</row>
        <row r="122">
          <cell r="V122">
            <v>0</v>
          </cell>
          <cell r="W122">
            <v>0</v>
          </cell>
          <cell r="Z122">
            <v>3.7902032552031709E-3</v>
          </cell>
          <cell r="AA122">
            <v>5.6853048828047568E-3</v>
          </cell>
          <cell r="AD122">
            <v>1.0176017415714837E-2</v>
          </cell>
          <cell r="AE122">
            <v>1.5264026123572255E-2</v>
          </cell>
          <cell r="AH122">
            <v>2.9906108408073184E-2</v>
          </cell>
          <cell r="AI122">
            <v>4.4859162612109774E-2</v>
          </cell>
          <cell r="AL122">
            <v>0.66735013591663994</v>
          </cell>
          <cell r="AM122">
            <v>1.0010252038749599</v>
          </cell>
          <cell r="AP122">
            <v>1.1563392408746431</v>
          </cell>
          <cell r="AQ122">
            <v>1.7345088613119648</v>
          </cell>
        </row>
        <row r="123">
          <cell r="V123">
            <v>0</v>
          </cell>
          <cell r="W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9.8970817555420684E-3</v>
          </cell>
          <cell r="AM123">
            <v>2.6392218014778847E-2</v>
          </cell>
          <cell r="AP123">
            <v>0.68377326318868215</v>
          </cell>
          <cell r="AQ123">
            <v>1.8233953685031523</v>
          </cell>
        </row>
        <row r="124">
          <cell r="V124">
            <v>0</v>
          </cell>
          <cell r="W124">
            <v>0</v>
          </cell>
          <cell r="Z124">
            <v>0</v>
          </cell>
          <cell r="AA124">
            <v>0</v>
          </cell>
          <cell r="AD124">
            <v>0</v>
          </cell>
          <cell r="AE124">
            <v>0</v>
          </cell>
          <cell r="AH124">
            <v>0</v>
          </cell>
          <cell r="AI124">
            <v>0</v>
          </cell>
          <cell r="AL124">
            <v>0</v>
          </cell>
          <cell r="AM124">
            <v>0</v>
          </cell>
          <cell r="AP124">
            <v>0</v>
          </cell>
          <cell r="AQ124">
            <v>0</v>
          </cell>
        </row>
        <row r="125">
          <cell r="V125">
            <v>0</v>
          </cell>
          <cell r="W125">
            <v>0</v>
          </cell>
          <cell r="Z125">
            <v>0</v>
          </cell>
          <cell r="AA125">
            <v>0</v>
          </cell>
          <cell r="AD125">
            <v>0</v>
          </cell>
          <cell r="AE125">
            <v>0</v>
          </cell>
          <cell r="AH125">
            <v>0</v>
          </cell>
          <cell r="AI125">
            <v>0</v>
          </cell>
          <cell r="AL125">
            <v>0</v>
          </cell>
          <cell r="AM125">
            <v>0</v>
          </cell>
          <cell r="AP125">
            <v>0</v>
          </cell>
          <cell r="AQ125">
            <v>0</v>
          </cell>
        </row>
        <row r="126">
          <cell r="V126">
            <v>0</v>
          </cell>
          <cell r="W126">
            <v>0</v>
          </cell>
          <cell r="Z126">
            <v>0</v>
          </cell>
          <cell r="AA126">
            <v>0</v>
          </cell>
          <cell r="AD126">
            <v>0</v>
          </cell>
          <cell r="AE126">
            <v>0</v>
          </cell>
          <cell r="AH126">
            <v>0</v>
          </cell>
          <cell r="AI126">
            <v>0</v>
          </cell>
          <cell r="AL126">
            <v>0</v>
          </cell>
          <cell r="AM126">
            <v>0</v>
          </cell>
          <cell r="AP126">
            <v>0</v>
          </cell>
          <cell r="AQ126">
            <v>0</v>
          </cell>
        </row>
        <row r="127">
          <cell r="V127">
            <v>0</v>
          </cell>
          <cell r="W127">
            <v>0</v>
          </cell>
          <cell r="Z127">
            <v>0</v>
          </cell>
          <cell r="AA127">
            <v>0</v>
          </cell>
          <cell r="AD127">
            <v>0</v>
          </cell>
          <cell r="AE127">
            <v>0</v>
          </cell>
          <cell r="AH127">
            <v>0</v>
          </cell>
          <cell r="AI127">
            <v>0</v>
          </cell>
          <cell r="AL127">
            <v>0</v>
          </cell>
          <cell r="AM127">
            <v>1.883149165171405</v>
          </cell>
          <cell r="AP127">
            <v>0</v>
          </cell>
          <cell r="AQ127">
            <v>2.5633084502541341</v>
          </cell>
        </row>
        <row r="128">
          <cell r="V128">
            <v>0</v>
          </cell>
          <cell r="W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</row>
        <row r="129">
          <cell r="V129">
            <v>0</v>
          </cell>
          <cell r="W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2.7436092567211755E-2</v>
          </cell>
          <cell r="AM129">
            <v>2.7436092567211755E-2</v>
          </cell>
          <cell r="AP129">
            <v>0.20999361299060632</v>
          </cell>
          <cell r="AQ129">
            <v>0.20999361299060632</v>
          </cell>
        </row>
        <row r="130">
          <cell r="V130">
            <v>0</v>
          </cell>
          <cell r="W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</row>
        <row r="131">
          <cell r="V131">
            <v>0</v>
          </cell>
          <cell r="W131">
            <v>0</v>
          </cell>
          <cell r="Z131">
            <v>0</v>
          </cell>
          <cell r="AA131">
            <v>0</v>
          </cell>
          <cell r="AD131">
            <v>0</v>
          </cell>
          <cell r="AE131">
            <v>0</v>
          </cell>
          <cell r="AH131">
            <v>0</v>
          </cell>
          <cell r="AI131">
            <v>0</v>
          </cell>
          <cell r="AL131">
            <v>0</v>
          </cell>
          <cell r="AM131">
            <v>0</v>
          </cell>
          <cell r="AP131">
            <v>0</v>
          </cell>
          <cell r="AQ131">
            <v>0</v>
          </cell>
        </row>
        <row r="132">
          <cell r="V132">
            <v>0</v>
          </cell>
          <cell r="W132">
            <v>0</v>
          </cell>
          <cell r="Z132">
            <v>0</v>
          </cell>
          <cell r="AA132">
            <v>0</v>
          </cell>
          <cell r="AD132">
            <v>0</v>
          </cell>
          <cell r="AE132">
            <v>0</v>
          </cell>
          <cell r="AH132">
            <v>0</v>
          </cell>
          <cell r="AI132">
            <v>0</v>
          </cell>
          <cell r="AL132">
            <v>0.35462396063086643</v>
          </cell>
          <cell r="AM132">
            <v>0.70924792126173286</v>
          </cell>
          <cell r="AP132">
            <v>0.89078174293943935</v>
          </cell>
          <cell r="AQ132">
            <v>1.7815634858788787</v>
          </cell>
        </row>
        <row r="133">
          <cell r="V133">
            <v>0</v>
          </cell>
          <cell r="W133">
            <v>0</v>
          </cell>
          <cell r="Z133">
            <v>0</v>
          </cell>
          <cell r="AA133">
            <v>0</v>
          </cell>
          <cell r="AD133">
            <v>0</v>
          </cell>
          <cell r="AE133">
            <v>0</v>
          </cell>
          <cell r="AH133">
            <v>0</v>
          </cell>
          <cell r="AI133">
            <v>0</v>
          </cell>
          <cell r="AL133">
            <v>0.22573812738188212</v>
          </cell>
          <cell r="AM133">
            <v>0.35473134302867193</v>
          </cell>
          <cell r="AP133">
            <v>3.4350059037100169</v>
          </cell>
          <cell r="AQ133">
            <v>5.3978664201157409</v>
          </cell>
        </row>
        <row r="134">
          <cell r="V134">
            <v>0</v>
          </cell>
          <cell r="W134">
            <v>0</v>
          </cell>
          <cell r="Z134">
            <v>0</v>
          </cell>
          <cell r="AA134">
            <v>0</v>
          </cell>
          <cell r="AD134">
            <v>0</v>
          </cell>
          <cell r="AE134">
            <v>0</v>
          </cell>
          <cell r="AH134">
            <v>0</v>
          </cell>
          <cell r="AI134">
            <v>0</v>
          </cell>
          <cell r="AL134">
            <v>2.0197178827004961E-2</v>
          </cell>
          <cell r="AM134">
            <v>3.0295768240507441E-2</v>
          </cell>
          <cell r="AP134">
            <v>0.30399233185830626</v>
          </cell>
          <cell r="AQ134">
            <v>0.45598849778745942</v>
          </cell>
        </row>
        <row r="135">
          <cell r="V135">
            <v>0</v>
          </cell>
          <cell r="W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</row>
        <row r="136">
          <cell r="V136">
            <v>0</v>
          </cell>
          <cell r="W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0.29592415159745494</v>
          </cell>
          <cell r="AM136">
            <v>0.63857316923661323</v>
          </cell>
          <cell r="AP136">
            <v>2.2925688356449916</v>
          </cell>
          <cell r="AQ136">
            <v>4.9471222242865611</v>
          </cell>
        </row>
        <row r="137">
          <cell r="V137">
            <v>0</v>
          </cell>
          <cell r="W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</row>
        <row r="138">
          <cell r="V138">
            <v>0</v>
          </cell>
          <cell r="W138">
            <v>0</v>
          </cell>
          <cell r="Z138">
            <v>0</v>
          </cell>
          <cell r="AA138">
            <v>0</v>
          </cell>
          <cell r="AD138">
            <v>0</v>
          </cell>
          <cell r="AE138">
            <v>0</v>
          </cell>
          <cell r="AH138">
            <v>0</v>
          </cell>
          <cell r="AI138">
            <v>0</v>
          </cell>
          <cell r="AL138">
            <v>0</v>
          </cell>
          <cell r="AM138">
            <v>0</v>
          </cell>
          <cell r="AP138">
            <v>0</v>
          </cell>
          <cell r="AQ138">
            <v>0</v>
          </cell>
        </row>
        <row r="139">
          <cell r="V139">
            <v>0</v>
          </cell>
          <cell r="W139">
            <v>0</v>
          </cell>
          <cell r="Z139">
            <v>0</v>
          </cell>
          <cell r="AA139">
            <v>0</v>
          </cell>
          <cell r="AD139">
            <v>0</v>
          </cell>
          <cell r="AE139">
            <v>0</v>
          </cell>
          <cell r="AH139">
            <v>0</v>
          </cell>
          <cell r="AI139">
            <v>0</v>
          </cell>
          <cell r="AL139">
            <v>0</v>
          </cell>
          <cell r="AM139">
            <v>0</v>
          </cell>
          <cell r="AP139">
            <v>0</v>
          </cell>
          <cell r="AQ139">
            <v>0</v>
          </cell>
        </row>
        <row r="140">
          <cell r="V140">
            <v>0</v>
          </cell>
          <cell r="W140">
            <v>0</v>
          </cell>
          <cell r="Z140">
            <v>0</v>
          </cell>
          <cell r="AA140">
            <v>0</v>
          </cell>
          <cell r="AD140">
            <v>0</v>
          </cell>
          <cell r="AE140">
            <v>0</v>
          </cell>
          <cell r="AH140">
            <v>0</v>
          </cell>
          <cell r="AI140">
            <v>0</v>
          </cell>
          <cell r="AL140">
            <v>0</v>
          </cell>
          <cell r="AM140">
            <v>0</v>
          </cell>
          <cell r="AP140">
            <v>0</v>
          </cell>
          <cell r="AQ140">
            <v>0</v>
          </cell>
        </row>
        <row r="141">
          <cell r="V141">
            <v>0</v>
          </cell>
          <cell r="W141">
            <v>0</v>
          </cell>
          <cell r="Z141">
            <v>0</v>
          </cell>
          <cell r="AA141">
            <v>0</v>
          </cell>
          <cell r="AD141">
            <v>0</v>
          </cell>
          <cell r="AE141">
            <v>0</v>
          </cell>
          <cell r="AH141">
            <v>0</v>
          </cell>
          <cell r="AI141">
            <v>0</v>
          </cell>
          <cell r="AL141">
            <v>0</v>
          </cell>
          <cell r="AM141">
            <v>0</v>
          </cell>
          <cell r="AP141">
            <v>0</v>
          </cell>
          <cell r="AQ141">
            <v>0</v>
          </cell>
        </row>
        <row r="142">
          <cell r="V142">
            <v>0</v>
          </cell>
          <cell r="W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</row>
        <row r="143">
          <cell r="V143">
            <v>0</v>
          </cell>
          <cell r="W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</row>
        <row r="144">
          <cell r="V144">
            <v>0</v>
          </cell>
          <cell r="W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</row>
        <row r="145">
          <cell r="V145">
            <v>0</v>
          </cell>
          <cell r="W145">
            <v>0</v>
          </cell>
          <cell r="Z145">
            <v>0</v>
          </cell>
          <cell r="AA145">
            <v>0</v>
          </cell>
          <cell r="AD145">
            <v>0</v>
          </cell>
          <cell r="AE145">
            <v>0</v>
          </cell>
          <cell r="AH145">
            <v>0</v>
          </cell>
          <cell r="AI145">
            <v>0</v>
          </cell>
          <cell r="AL145">
            <v>0</v>
          </cell>
          <cell r="AM145">
            <v>0</v>
          </cell>
          <cell r="AP145">
            <v>0</v>
          </cell>
          <cell r="AQ145">
            <v>0</v>
          </cell>
        </row>
        <row r="146">
          <cell r="V146">
            <v>0</v>
          </cell>
          <cell r="W146">
            <v>0</v>
          </cell>
          <cell r="Z146">
            <v>0</v>
          </cell>
          <cell r="AA146">
            <v>0</v>
          </cell>
          <cell r="AD146">
            <v>0</v>
          </cell>
          <cell r="AE146">
            <v>0</v>
          </cell>
          <cell r="AH146">
            <v>0</v>
          </cell>
          <cell r="AI146">
            <v>0</v>
          </cell>
          <cell r="AL146">
            <v>0</v>
          </cell>
          <cell r="AM146">
            <v>0</v>
          </cell>
          <cell r="AP146">
            <v>0</v>
          </cell>
          <cell r="AQ146">
            <v>0</v>
          </cell>
        </row>
        <row r="147">
          <cell r="V147">
            <v>0</v>
          </cell>
          <cell r="W147">
            <v>0</v>
          </cell>
          <cell r="Z147">
            <v>0</v>
          </cell>
          <cell r="AA147">
            <v>0</v>
          </cell>
          <cell r="AD147">
            <v>0</v>
          </cell>
          <cell r="AE147">
            <v>0</v>
          </cell>
          <cell r="AH147">
            <v>0</v>
          </cell>
          <cell r="AI147">
            <v>0</v>
          </cell>
          <cell r="AL147">
            <v>0</v>
          </cell>
          <cell r="AM147">
            <v>0</v>
          </cell>
          <cell r="AP147">
            <v>0</v>
          </cell>
          <cell r="AQ147">
            <v>0</v>
          </cell>
        </row>
        <row r="148">
          <cell r="V148">
            <v>0</v>
          </cell>
          <cell r="W148">
            <v>0</v>
          </cell>
          <cell r="Z148">
            <v>0</v>
          </cell>
          <cell r="AA148">
            <v>0</v>
          </cell>
          <cell r="AD148">
            <v>0</v>
          </cell>
          <cell r="AE148">
            <v>0</v>
          </cell>
          <cell r="AH148">
            <v>0</v>
          </cell>
          <cell r="AI148">
            <v>0</v>
          </cell>
          <cell r="AL148">
            <v>0</v>
          </cell>
          <cell r="AM148">
            <v>0</v>
          </cell>
          <cell r="AP148">
            <v>0</v>
          </cell>
          <cell r="AQ148">
            <v>0</v>
          </cell>
        </row>
        <row r="149">
          <cell r="V149">
            <v>0</v>
          </cell>
          <cell r="W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</row>
        <row r="150">
          <cell r="V150">
            <v>0</v>
          </cell>
          <cell r="W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</row>
        <row r="151">
          <cell r="V151">
            <v>0</v>
          </cell>
          <cell r="W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</row>
        <row r="152">
          <cell r="V152">
            <v>0</v>
          </cell>
          <cell r="W152">
            <v>0</v>
          </cell>
          <cell r="Z152">
            <v>0</v>
          </cell>
          <cell r="AA152">
            <v>0</v>
          </cell>
          <cell r="AD152">
            <v>0</v>
          </cell>
          <cell r="AE152">
            <v>0</v>
          </cell>
          <cell r="AH152">
            <v>0</v>
          </cell>
          <cell r="AI152">
            <v>0</v>
          </cell>
          <cell r="AL152">
            <v>0</v>
          </cell>
          <cell r="AM152">
            <v>0</v>
          </cell>
          <cell r="AP152">
            <v>0</v>
          </cell>
          <cell r="AQ152">
            <v>0</v>
          </cell>
        </row>
        <row r="153">
          <cell r="V153">
            <v>0</v>
          </cell>
          <cell r="W153">
            <v>0</v>
          </cell>
          <cell r="Z153">
            <v>0</v>
          </cell>
          <cell r="AA153">
            <v>0</v>
          </cell>
          <cell r="AD153">
            <v>0</v>
          </cell>
          <cell r="AE153">
            <v>0</v>
          </cell>
          <cell r="AH153">
            <v>0</v>
          </cell>
          <cell r="AI153">
            <v>0</v>
          </cell>
          <cell r="AL153">
            <v>0</v>
          </cell>
          <cell r="AM153">
            <v>0</v>
          </cell>
          <cell r="AP153">
            <v>0</v>
          </cell>
          <cell r="AQ153">
            <v>0</v>
          </cell>
        </row>
        <row r="154">
          <cell r="V154">
            <v>0</v>
          </cell>
          <cell r="W154">
            <v>0</v>
          </cell>
          <cell r="Z154">
            <v>0</v>
          </cell>
          <cell r="AA154">
            <v>0</v>
          </cell>
          <cell r="AD154">
            <v>0</v>
          </cell>
          <cell r="AE154">
            <v>0</v>
          </cell>
          <cell r="AH154">
            <v>0</v>
          </cell>
          <cell r="AI154">
            <v>0</v>
          </cell>
          <cell r="AL154">
            <v>0</v>
          </cell>
          <cell r="AM154">
            <v>0</v>
          </cell>
          <cell r="AP154">
            <v>0</v>
          </cell>
          <cell r="AQ154">
            <v>0</v>
          </cell>
        </row>
        <row r="155">
          <cell r="V155">
            <v>0</v>
          </cell>
          <cell r="W155">
            <v>0</v>
          </cell>
          <cell r="Z155">
            <v>0</v>
          </cell>
          <cell r="AA155">
            <v>0</v>
          </cell>
          <cell r="AD155">
            <v>0</v>
          </cell>
          <cell r="AE155">
            <v>0</v>
          </cell>
          <cell r="AH155">
            <v>0</v>
          </cell>
          <cell r="AI155">
            <v>0</v>
          </cell>
          <cell r="AL155">
            <v>0</v>
          </cell>
          <cell r="AM155">
            <v>0</v>
          </cell>
          <cell r="AP155">
            <v>0</v>
          </cell>
          <cell r="AQ155">
            <v>0</v>
          </cell>
        </row>
        <row r="156">
          <cell r="V156">
            <v>0</v>
          </cell>
          <cell r="W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</row>
        <row r="157">
          <cell r="V157">
            <v>0</v>
          </cell>
          <cell r="W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</row>
        <row r="158">
          <cell r="V158">
            <v>0</v>
          </cell>
          <cell r="W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</row>
        <row r="159">
          <cell r="V159">
            <v>0</v>
          </cell>
          <cell r="W159">
            <v>0</v>
          </cell>
          <cell r="Z159">
            <v>0</v>
          </cell>
          <cell r="AA159">
            <v>0</v>
          </cell>
          <cell r="AD159">
            <v>0</v>
          </cell>
          <cell r="AE159">
            <v>0</v>
          </cell>
          <cell r="AH159">
            <v>0</v>
          </cell>
          <cell r="AI159">
            <v>0</v>
          </cell>
          <cell r="AL159">
            <v>0</v>
          </cell>
          <cell r="AM159">
            <v>0</v>
          </cell>
          <cell r="AP159">
            <v>0</v>
          </cell>
          <cell r="AQ159">
            <v>0</v>
          </cell>
        </row>
        <row r="160">
          <cell r="V160">
            <v>0</v>
          </cell>
          <cell r="W160">
            <v>0</v>
          </cell>
          <cell r="Z160">
            <v>0</v>
          </cell>
          <cell r="AA160">
            <v>0</v>
          </cell>
          <cell r="AD160">
            <v>0</v>
          </cell>
          <cell r="AE160">
            <v>0</v>
          </cell>
          <cell r="AH160">
            <v>0</v>
          </cell>
          <cell r="AI160">
            <v>0</v>
          </cell>
          <cell r="AL160">
            <v>0</v>
          </cell>
          <cell r="AM160">
            <v>0</v>
          </cell>
          <cell r="AP160">
            <v>0</v>
          </cell>
          <cell r="AQ160">
            <v>0</v>
          </cell>
        </row>
        <row r="161">
          <cell r="V161">
            <v>0</v>
          </cell>
          <cell r="W161">
            <v>0</v>
          </cell>
          <cell r="Z161">
            <v>0</v>
          </cell>
          <cell r="AA161">
            <v>0</v>
          </cell>
          <cell r="AD161">
            <v>0</v>
          </cell>
          <cell r="AE161">
            <v>0</v>
          </cell>
          <cell r="AH161">
            <v>0</v>
          </cell>
          <cell r="AI161">
            <v>0</v>
          </cell>
          <cell r="AL161">
            <v>0</v>
          </cell>
          <cell r="AM161">
            <v>0</v>
          </cell>
          <cell r="AP161">
            <v>0</v>
          </cell>
          <cell r="AQ161">
            <v>0</v>
          </cell>
        </row>
        <row r="162">
          <cell r="V162">
            <v>0</v>
          </cell>
          <cell r="W162">
            <v>0</v>
          </cell>
          <cell r="Z162">
            <v>0</v>
          </cell>
          <cell r="AA162">
            <v>0</v>
          </cell>
          <cell r="AD162">
            <v>0</v>
          </cell>
          <cell r="AE162">
            <v>0</v>
          </cell>
          <cell r="AH162">
            <v>0</v>
          </cell>
          <cell r="AI162">
            <v>0</v>
          </cell>
          <cell r="AL162">
            <v>0</v>
          </cell>
          <cell r="AM162">
            <v>0</v>
          </cell>
          <cell r="AP162">
            <v>0</v>
          </cell>
          <cell r="AQ162">
            <v>0</v>
          </cell>
        </row>
        <row r="163">
          <cell r="V163">
            <v>0</v>
          </cell>
          <cell r="W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</row>
        <row r="164">
          <cell r="V164">
            <v>0</v>
          </cell>
          <cell r="W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</row>
        <row r="165">
          <cell r="V165">
            <v>0</v>
          </cell>
          <cell r="W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</row>
        <row r="166">
          <cell r="V166">
            <v>0</v>
          </cell>
          <cell r="W166">
            <v>0</v>
          </cell>
          <cell r="Z166">
            <v>0</v>
          </cell>
          <cell r="AA166">
            <v>0</v>
          </cell>
          <cell r="AD166">
            <v>0</v>
          </cell>
          <cell r="AE166">
            <v>0</v>
          </cell>
          <cell r="AH166">
            <v>0</v>
          </cell>
          <cell r="AI166">
            <v>0</v>
          </cell>
          <cell r="AL166">
            <v>0</v>
          </cell>
          <cell r="AM166">
            <v>0</v>
          </cell>
          <cell r="AP166">
            <v>0</v>
          </cell>
          <cell r="AQ166">
            <v>0</v>
          </cell>
        </row>
        <row r="167">
          <cell r="V167">
            <v>0</v>
          </cell>
          <cell r="W167">
            <v>0</v>
          </cell>
          <cell r="Z167">
            <v>0</v>
          </cell>
          <cell r="AA167">
            <v>0</v>
          </cell>
          <cell r="AD167">
            <v>0</v>
          </cell>
          <cell r="AE167">
            <v>0</v>
          </cell>
          <cell r="AH167">
            <v>0</v>
          </cell>
          <cell r="AI167">
            <v>0</v>
          </cell>
          <cell r="AL167">
            <v>0</v>
          </cell>
          <cell r="AM167">
            <v>0</v>
          </cell>
          <cell r="AP167">
            <v>0</v>
          </cell>
          <cell r="AQ167">
            <v>0</v>
          </cell>
        </row>
        <row r="168">
          <cell r="V168">
            <v>0</v>
          </cell>
          <cell r="W168">
            <v>0</v>
          </cell>
          <cell r="Z168">
            <v>0</v>
          </cell>
          <cell r="AA168">
            <v>0</v>
          </cell>
          <cell r="AD168">
            <v>0</v>
          </cell>
          <cell r="AE168">
            <v>0</v>
          </cell>
          <cell r="AH168">
            <v>0</v>
          </cell>
          <cell r="AI168">
            <v>0</v>
          </cell>
          <cell r="AL168">
            <v>0</v>
          </cell>
          <cell r="AM168">
            <v>0</v>
          </cell>
          <cell r="AP168">
            <v>0</v>
          </cell>
          <cell r="AQ168">
            <v>0</v>
          </cell>
        </row>
        <row r="169">
          <cell r="V169">
            <v>0</v>
          </cell>
          <cell r="W169">
            <v>0</v>
          </cell>
          <cell r="Z169">
            <v>0</v>
          </cell>
          <cell r="AA169">
            <v>0</v>
          </cell>
          <cell r="AD169">
            <v>0</v>
          </cell>
          <cell r="AE169">
            <v>0</v>
          </cell>
          <cell r="AH169">
            <v>0</v>
          </cell>
          <cell r="AI169">
            <v>0</v>
          </cell>
          <cell r="AL169">
            <v>0</v>
          </cell>
          <cell r="AM169">
            <v>0</v>
          </cell>
          <cell r="AP169">
            <v>0</v>
          </cell>
          <cell r="AQ169">
            <v>0</v>
          </cell>
        </row>
        <row r="170">
          <cell r="V170">
            <v>0</v>
          </cell>
          <cell r="W170">
            <v>0</v>
          </cell>
          <cell r="Z170">
            <v>0</v>
          </cell>
          <cell r="AA170">
            <v>0</v>
          </cell>
          <cell r="AD170">
            <v>0</v>
          </cell>
          <cell r="AE170">
            <v>0</v>
          </cell>
          <cell r="AH170">
            <v>0</v>
          </cell>
          <cell r="AI170">
            <v>0</v>
          </cell>
          <cell r="AL170">
            <v>0</v>
          </cell>
          <cell r="AM170">
            <v>0</v>
          </cell>
          <cell r="AP170">
            <v>0</v>
          </cell>
          <cell r="AQ170">
            <v>0</v>
          </cell>
        </row>
        <row r="171">
          <cell r="V171">
            <v>0</v>
          </cell>
          <cell r="W171">
            <v>0</v>
          </cell>
          <cell r="Z171">
            <v>0</v>
          </cell>
          <cell r="AA171">
            <v>0</v>
          </cell>
          <cell r="AD171">
            <v>0</v>
          </cell>
          <cell r="AE171">
            <v>0</v>
          </cell>
          <cell r="AH171">
            <v>0</v>
          </cell>
          <cell r="AI171">
            <v>0</v>
          </cell>
          <cell r="AL171">
            <v>0</v>
          </cell>
          <cell r="AM171">
            <v>0</v>
          </cell>
          <cell r="AP171">
            <v>0</v>
          </cell>
          <cell r="AQ171">
            <v>0</v>
          </cell>
        </row>
        <row r="172">
          <cell r="V172">
            <v>0</v>
          </cell>
          <cell r="W172">
            <v>0</v>
          </cell>
          <cell r="Z172">
            <v>0</v>
          </cell>
          <cell r="AA172">
            <v>0</v>
          </cell>
          <cell r="AD172">
            <v>0</v>
          </cell>
          <cell r="AE172">
            <v>0</v>
          </cell>
          <cell r="AH172">
            <v>0</v>
          </cell>
          <cell r="AI172">
            <v>0</v>
          </cell>
          <cell r="AL172">
            <v>0</v>
          </cell>
          <cell r="AM172">
            <v>0</v>
          </cell>
          <cell r="AP172">
            <v>0</v>
          </cell>
          <cell r="AQ172">
            <v>0</v>
          </cell>
        </row>
        <row r="173">
          <cell r="V173">
            <v>0</v>
          </cell>
          <cell r="W173">
            <v>0</v>
          </cell>
          <cell r="Z173">
            <v>0</v>
          </cell>
          <cell r="AA173">
            <v>0</v>
          </cell>
          <cell r="AD173">
            <v>0</v>
          </cell>
          <cell r="AE173">
            <v>0</v>
          </cell>
          <cell r="AH173">
            <v>0</v>
          </cell>
          <cell r="AI173">
            <v>0</v>
          </cell>
          <cell r="AL173">
            <v>0</v>
          </cell>
          <cell r="AM173">
            <v>0</v>
          </cell>
          <cell r="AP173">
            <v>0</v>
          </cell>
          <cell r="AQ173">
            <v>0</v>
          </cell>
        </row>
        <row r="174">
          <cell r="V174">
            <v>0</v>
          </cell>
          <cell r="W174">
            <v>0</v>
          </cell>
          <cell r="Z174">
            <v>0</v>
          </cell>
          <cell r="AA174">
            <v>0</v>
          </cell>
          <cell r="AD174">
            <v>0</v>
          </cell>
          <cell r="AE174">
            <v>0</v>
          </cell>
          <cell r="AH174">
            <v>0</v>
          </cell>
          <cell r="AI174">
            <v>0</v>
          </cell>
          <cell r="AL174">
            <v>0</v>
          </cell>
          <cell r="AM174">
            <v>0</v>
          </cell>
          <cell r="AP174">
            <v>0</v>
          </cell>
          <cell r="AQ174">
            <v>0</v>
          </cell>
        </row>
        <row r="175">
          <cell r="V175">
            <v>0</v>
          </cell>
          <cell r="W175">
            <v>0</v>
          </cell>
          <cell r="Z175">
            <v>0</v>
          </cell>
          <cell r="AA175">
            <v>0</v>
          </cell>
          <cell r="AD175">
            <v>0</v>
          </cell>
          <cell r="AE175">
            <v>0</v>
          </cell>
          <cell r="AH175">
            <v>0</v>
          </cell>
          <cell r="AI175">
            <v>0</v>
          </cell>
          <cell r="AL175">
            <v>0</v>
          </cell>
          <cell r="AM175">
            <v>0</v>
          </cell>
          <cell r="AP175">
            <v>0</v>
          </cell>
          <cell r="AQ175">
            <v>0</v>
          </cell>
        </row>
        <row r="176">
          <cell r="V176">
            <v>0</v>
          </cell>
          <cell r="W176">
            <v>0</v>
          </cell>
          <cell r="Z176">
            <v>0</v>
          </cell>
          <cell r="AA176">
            <v>0</v>
          </cell>
          <cell r="AD176">
            <v>0</v>
          </cell>
          <cell r="AE176">
            <v>0</v>
          </cell>
          <cell r="AH176">
            <v>0</v>
          </cell>
          <cell r="AI176">
            <v>0</v>
          </cell>
          <cell r="AL176">
            <v>0</v>
          </cell>
          <cell r="AM176">
            <v>0</v>
          </cell>
          <cell r="AP176">
            <v>0</v>
          </cell>
          <cell r="AQ176">
            <v>0</v>
          </cell>
        </row>
        <row r="177">
          <cell r="V177">
            <v>0</v>
          </cell>
          <cell r="W177">
            <v>0</v>
          </cell>
          <cell r="Z177">
            <v>0</v>
          </cell>
          <cell r="AA177">
            <v>0</v>
          </cell>
          <cell r="AD177">
            <v>0</v>
          </cell>
          <cell r="AE177">
            <v>0</v>
          </cell>
          <cell r="AH177">
            <v>0</v>
          </cell>
          <cell r="AI177">
            <v>0</v>
          </cell>
          <cell r="AL177">
            <v>0</v>
          </cell>
          <cell r="AM177">
            <v>0</v>
          </cell>
          <cell r="AP177">
            <v>0</v>
          </cell>
          <cell r="AQ177">
            <v>0</v>
          </cell>
        </row>
        <row r="178">
          <cell r="V178">
            <v>0</v>
          </cell>
          <cell r="W178">
            <v>0</v>
          </cell>
          <cell r="Z178">
            <v>0</v>
          </cell>
          <cell r="AA178">
            <v>0</v>
          </cell>
          <cell r="AD178">
            <v>0</v>
          </cell>
          <cell r="AE178">
            <v>0</v>
          </cell>
          <cell r="AH178">
            <v>0</v>
          </cell>
          <cell r="AI178">
            <v>0</v>
          </cell>
          <cell r="AL178">
            <v>0</v>
          </cell>
          <cell r="AM178">
            <v>0</v>
          </cell>
          <cell r="AP178">
            <v>0</v>
          </cell>
          <cell r="AQ178">
            <v>0</v>
          </cell>
        </row>
        <row r="179">
          <cell r="V179">
            <v>0</v>
          </cell>
          <cell r="W179">
            <v>0</v>
          </cell>
          <cell r="Z179">
            <v>0</v>
          </cell>
          <cell r="AA179">
            <v>0</v>
          </cell>
          <cell r="AD179">
            <v>0</v>
          </cell>
          <cell r="AE179">
            <v>0</v>
          </cell>
          <cell r="AH179">
            <v>0</v>
          </cell>
          <cell r="AI179">
            <v>0</v>
          </cell>
          <cell r="AL179">
            <v>0</v>
          </cell>
          <cell r="AM179">
            <v>0</v>
          </cell>
          <cell r="AP179">
            <v>0</v>
          </cell>
          <cell r="AQ179">
            <v>0</v>
          </cell>
        </row>
        <row r="180">
          <cell r="V180">
            <v>0</v>
          </cell>
          <cell r="W180">
            <v>0</v>
          </cell>
          <cell r="Z180">
            <v>0</v>
          </cell>
          <cell r="AA180">
            <v>0</v>
          </cell>
          <cell r="AD180">
            <v>0</v>
          </cell>
          <cell r="AE180">
            <v>0</v>
          </cell>
          <cell r="AH180">
            <v>0</v>
          </cell>
          <cell r="AI180">
            <v>0</v>
          </cell>
          <cell r="AL180">
            <v>0</v>
          </cell>
          <cell r="AM180">
            <v>0</v>
          </cell>
          <cell r="AP180">
            <v>0</v>
          </cell>
          <cell r="AQ180">
            <v>0</v>
          </cell>
        </row>
        <row r="181">
          <cell r="V181">
            <v>0</v>
          </cell>
          <cell r="W181">
            <v>0</v>
          </cell>
          <cell r="Z181">
            <v>0</v>
          </cell>
          <cell r="AA181">
            <v>0</v>
          </cell>
          <cell r="AD181">
            <v>0</v>
          </cell>
          <cell r="AE181">
            <v>0</v>
          </cell>
          <cell r="AH181">
            <v>0</v>
          </cell>
          <cell r="AI181">
            <v>0</v>
          </cell>
          <cell r="AL181">
            <v>0</v>
          </cell>
          <cell r="AM181">
            <v>0</v>
          </cell>
          <cell r="AP181">
            <v>0</v>
          </cell>
          <cell r="AQ181">
            <v>0</v>
          </cell>
        </row>
        <row r="182">
          <cell r="V182">
            <v>0</v>
          </cell>
          <cell r="W182">
            <v>0</v>
          </cell>
          <cell r="Z182">
            <v>0</v>
          </cell>
          <cell r="AA182">
            <v>0</v>
          </cell>
          <cell r="AD182">
            <v>0</v>
          </cell>
          <cell r="AE182">
            <v>0</v>
          </cell>
          <cell r="AH182">
            <v>0</v>
          </cell>
          <cell r="AI182">
            <v>0</v>
          </cell>
          <cell r="AL182">
            <v>0</v>
          </cell>
          <cell r="AM182">
            <v>0</v>
          </cell>
          <cell r="AP182">
            <v>0</v>
          </cell>
          <cell r="AQ182">
            <v>0</v>
          </cell>
        </row>
        <row r="183">
          <cell r="V183">
            <v>0</v>
          </cell>
          <cell r="W183">
            <v>0</v>
          </cell>
          <cell r="Z183">
            <v>0</v>
          </cell>
          <cell r="AA183">
            <v>0</v>
          </cell>
          <cell r="AD183">
            <v>0</v>
          </cell>
          <cell r="AE183">
            <v>0</v>
          </cell>
          <cell r="AH183">
            <v>0</v>
          </cell>
          <cell r="AI183">
            <v>0</v>
          </cell>
          <cell r="AL183">
            <v>0</v>
          </cell>
          <cell r="AM183">
            <v>0</v>
          </cell>
          <cell r="AP183">
            <v>0</v>
          </cell>
          <cell r="AQ183">
            <v>0</v>
          </cell>
        </row>
        <row r="184">
          <cell r="V184">
            <v>0</v>
          </cell>
          <cell r="W184">
            <v>0</v>
          </cell>
          <cell r="Z184">
            <v>0</v>
          </cell>
          <cell r="AA184">
            <v>0</v>
          </cell>
          <cell r="AD184">
            <v>0</v>
          </cell>
          <cell r="AE184">
            <v>0</v>
          </cell>
          <cell r="AH184">
            <v>0</v>
          </cell>
          <cell r="AI184">
            <v>0</v>
          </cell>
          <cell r="AL184">
            <v>0</v>
          </cell>
          <cell r="AM184">
            <v>0</v>
          </cell>
          <cell r="AP184">
            <v>0</v>
          </cell>
          <cell r="AQ184">
            <v>0</v>
          </cell>
        </row>
        <row r="185">
          <cell r="V185">
            <v>0</v>
          </cell>
          <cell r="W185">
            <v>0</v>
          </cell>
          <cell r="Z185">
            <v>0</v>
          </cell>
          <cell r="AA185">
            <v>0</v>
          </cell>
          <cell r="AD185">
            <v>0</v>
          </cell>
          <cell r="AE185">
            <v>0</v>
          </cell>
          <cell r="AH185">
            <v>0</v>
          </cell>
          <cell r="AI185">
            <v>0</v>
          </cell>
          <cell r="AL185">
            <v>0</v>
          </cell>
          <cell r="AM185">
            <v>0</v>
          </cell>
          <cell r="AP185">
            <v>0</v>
          </cell>
          <cell r="AQ185">
            <v>0</v>
          </cell>
        </row>
        <row r="186">
          <cell r="V186">
            <v>0</v>
          </cell>
          <cell r="W186">
            <v>0</v>
          </cell>
          <cell r="Z186">
            <v>0</v>
          </cell>
          <cell r="AA186">
            <v>0</v>
          </cell>
          <cell r="AD186">
            <v>0</v>
          </cell>
          <cell r="AE186">
            <v>0</v>
          </cell>
          <cell r="AH186">
            <v>0</v>
          </cell>
          <cell r="AI186">
            <v>0</v>
          </cell>
          <cell r="AL186">
            <v>0</v>
          </cell>
          <cell r="AM186">
            <v>0</v>
          </cell>
          <cell r="AP186">
            <v>0</v>
          </cell>
          <cell r="AQ186">
            <v>0</v>
          </cell>
        </row>
        <row r="187">
          <cell r="V187">
            <v>0</v>
          </cell>
          <cell r="W187">
            <v>0</v>
          </cell>
          <cell r="Z187">
            <v>0</v>
          </cell>
          <cell r="AA187">
            <v>0</v>
          </cell>
          <cell r="AD187">
            <v>0</v>
          </cell>
          <cell r="AE187">
            <v>0</v>
          </cell>
          <cell r="AH187">
            <v>0</v>
          </cell>
          <cell r="AI187">
            <v>0</v>
          </cell>
          <cell r="AL187">
            <v>0</v>
          </cell>
          <cell r="AM187">
            <v>0</v>
          </cell>
          <cell r="AP187">
            <v>0</v>
          </cell>
          <cell r="AQ187">
            <v>0</v>
          </cell>
        </row>
        <row r="188">
          <cell r="V188">
            <v>0</v>
          </cell>
          <cell r="W188">
            <v>0</v>
          </cell>
          <cell r="Z188">
            <v>0</v>
          </cell>
          <cell r="AA188">
            <v>0</v>
          </cell>
          <cell r="AD188">
            <v>0</v>
          </cell>
          <cell r="AE188">
            <v>0</v>
          </cell>
          <cell r="AH188">
            <v>0</v>
          </cell>
          <cell r="AI188">
            <v>0</v>
          </cell>
          <cell r="AL188">
            <v>0</v>
          </cell>
          <cell r="AM188">
            <v>0</v>
          </cell>
          <cell r="AP188">
            <v>0</v>
          </cell>
          <cell r="AQ188">
            <v>0</v>
          </cell>
        </row>
        <row r="189">
          <cell r="V189">
            <v>0</v>
          </cell>
          <cell r="W189">
            <v>0</v>
          </cell>
          <cell r="Z189">
            <v>0</v>
          </cell>
          <cell r="AA189">
            <v>0</v>
          </cell>
          <cell r="AD189">
            <v>0</v>
          </cell>
          <cell r="AE189">
            <v>0</v>
          </cell>
          <cell r="AH189">
            <v>0</v>
          </cell>
          <cell r="AI189">
            <v>0</v>
          </cell>
          <cell r="AL189">
            <v>0</v>
          </cell>
          <cell r="AM189">
            <v>0</v>
          </cell>
          <cell r="AP189">
            <v>0</v>
          </cell>
          <cell r="AQ189">
            <v>0</v>
          </cell>
        </row>
        <row r="190">
          <cell r="V190">
            <v>0</v>
          </cell>
          <cell r="W190">
            <v>0</v>
          </cell>
          <cell r="Z190">
            <v>0</v>
          </cell>
          <cell r="AA190">
            <v>0</v>
          </cell>
          <cell r="AD190">
            <v>0</v>
          </cell>
          <cell r="AE190">
            <v>0</v>
          </cell>
          <cell r="AH190">
            <v>0</v>
          </cell>
          <cell r="AI190">
            <v>0</v>
          </cell>
          <cell r="AL190">
            <v>0</v>
          </cell>
          <cell r="AM190">
            <v>0</v>
          </cell>
          <cell r="AP190">
            <v>0</v>
          </cell>
          <cell r="AQ190">
            <v>0</v>
          </cell>
        </row>
        <row r="191">
          <cell r="V191">
            <v>0</v>
          </cell>
          <cell r="W191">
            <v>0</v>
          </cell>
          <cell r="Z191">
            <v>0</v>
          </cell>
          <cell r="AA191">
            <v>0</v>
          </cell>
          <cell r="AD191">
            <v>0</v>
          </cell>
          <cell r="AE191">
            <v>0</v>
          </cell>
          <cell r="AH191">
            <v>0</v>
          </cell>
          <cell r="AI191">
            <v>0</v>
          </cell>
          <cell r="AL191">
            <v>0</v>
          </cell>
          <cell r="AM191">
            <v>0</v>
          </cell>
          <cell r="AP191">
            <v>0</v>
          </cell>
          <cell r="AQ191">
            <v>0</v>
          </cell>
        </row>
        <row r="192">
          <cell r="V192">
            <v>0</v>
          </cell>
          <cell r="W192">
            <v>0</v>
          </cell>
          <cell r="Z192">
            <v>0</v>
          </cell>
          <cell r="AA192">
            <v>0</v>
          </cell>
          <cell r="AD192">
            <v>0</v>
          </cell>
          <cell r="AE192">
            <v>0</v>
          </cell>
          <cell r="AH192">
            <v>0</v>
          </cell>
          <cell r="AI192">
            <v>0</v>
          </cell>
          <cell r="AL192">
            <v>0</v>
          </cell>
          <cell r="AM192">
            <v>0</v>
          </cell>
          <cell r="AP192">
            <v>0</v>
          </cell>
          <cell r="AQ192">
            <v>0</v>
          </cell>
        </row>
        <row r="193">
          <cell r="V193">
            <v>0</v>
          </cell>
          <cell r="W193">
            <v>0</v>
          </cell>
          <cell r="Z193">
            <v>0</v>
          </cell>
          <cell r="AA193">
            <v>0</v>
          </cell>
          <cell r="AD193">
            <v>0</v>
          </cell>
          <cell r="AE193">
            <v>0</v>
          </cell>
          <cell r="AH193">
            <v>0</v>
          </cell>
          <cell r="AI193">
            <v>0</v>
          </cell>
          <cell r="AL193">
            <v>0</v>
          </cell>
          <cell r="AM193">
            <v>0</v>
          </cell>
          <cell r="AP193">
            <v>0</v>
          </cell>
          <cell r="AQ193">
            <v>0</v>
          </cell>
        </row>
        <row r="194">
          <cell r="V194">
            <v>0</v>
          </cell>
          <cell r="W194">
            <v>0</v>
          </cell>
          <cell r="Z194">
            <v>0</v>
          </cell>
          <cell r="AA194">
            <v>0</v>
          </cell>
          <cell r="AD194">
            <v>0</v>
          </cell>
          <cell r="AE194">
            <v>0</v>
          </cell>
          <cell r="AH194">
            <v>0</v>
          </cell>
          <cell r="AI194">
            <v>0</v>
          </cell>
          <cell r="AL194">
            <v>0</v>
          </cell>
          <cell r="AM194">
            <v>0</v>
          </cell>
          <cell r="AP194">
            <v>0</v>
          </cell>
          <cell r="AQ194">
            <v>0</v>
          </cell>
        </row>
        <row r="195">
          <cell r="V195">
            <v>0</v>
          </cell>
          <cell r="W195">
            <v>0</v>
          </cell>
          <cell r="Z195">
            <v>0</v>
          </cell>
          <cell r="AA195">
            <v>0</v>
          </cell>
          <cell r="AD195">
            <v>0</v>
          </cell>
          <cell r="AE195">
            <v>0</v>
          </cell>
          <cell r="AH195">
            <v>0</v>
          </cell>
          <cell r="AI195">
            <v>0</v>
          </cell>
          <cell r="AL195">
            <v>0</v>
          </cell>
          <cell r="AM195">
            <v>0</v>
          </cell>
          <cell r="AP195">
            <v>0</v>
          </cell>
          <cell r="AQ195">
            <v>0</v>
          </cell>
        </row>
        <row r="196">
          <cell r="V196">
            <v>0</v>
          </cell>
          <cell r="W196">
            <v>0</v>
          </cell>
          <cell r="Z196">
            <v>0</v>
          </cell>
          <cell r="AA196">
            <v>0</v>
          </cell>
          <cell r="AD196">
            <v>0</v>
          </cell>
          <cell r="AE196">
            <v>0</v>
          </cell>
          <cell r="AH196">
            <v>0</v>
          </cell>
          <cell r="AI196">
            <v>0</v>
          </cell>
          <cell r="AL196">
            <v>0</v>
          </cell>
          <cell r="AM196">
            <v>0</v>
          </cell>
          <cell r="AP196">
            <v>0</v>
          </cell>
          <cell r="AQ196">
            <v>0</v>
          </cell>
        </row>
        <row r="197">
          <cell r="V197">
            <v>0</v>
          </cell>
          <cell r="W197">
            <v>0</v>
          </cell>
          <cell r="Z197">
            <v>0</v>
          </cell>
          <cell r="AA197">
            <v>0</v>
          </cell>
          <cell r="AD197">
            <v>0</v>
          </cell>
          <cell r="AE197">
            <v>0</v>
          </cell>
          <cell r="AH197">
            <v>0</v>
          </cell>
          <cell r="AI197">
            <v>0</v>
          </cell>
          <cell r="AL197">
            <v>0</v>
          </cell>
          <cell r="AM197">
            <v>0</v>
          </cell>
          <cell r="AP197">
            <v>0</v>
          </cell>
          <cell r="AQ197">
            <v>0</v>
          </cell>
        </row>
        <row r="198">
          <cell r="V198">
            <v>0</v>
          </cell>
          <cell r="W198">
            <v>0</v>
          </cell>
          <cell r="Z198">
            <v>0</v>
          </cell>
          <cell r="AA198">
            <v>0</v>
          </cell>
          <cell r="AD198">
            <v>0</v>
          </cell>
          <cell r="AE198">
            <v>0</v>
          </cell>
          <cell r="AH198">
            <v>0</v>
          </cell>
          <cell r="AI198">
            <v>0</v>
          </cell>
          <cell r="AL198">
            <v>0</v>
          </cell>
          <cell r="AM198">
            <v>0</v>
          </cell>
          <cell r="AP198">
            <v>0</v>
          </cell>
          <cell r="AQ198">
            <v>0</v>
          </cell>
        </row>
        <row r="199">
          <cell r="V199">
            <v>0</v>
          </cell>
          <cell r="W199">
            <v>0</v>
          </cell>
          <cell r="Z199">
            <v>0</v>
          </cell>
          <cell r="AA199">
            <v>0</v>
          </cell>
          <cell r="AD199">
            <v>0</v>
          </cell>
          <cell r="AE199">
            <v>0</v>
          </cell>
          <cell r="AH199">
            <v>0</v>
          </cell>
          <cell r="AI199">
            <v>0</v>
          </cell>
          <cell r="AL199">
            <v>0</v>
          </cell>
          <cell r="AM199">
            <v>0</v>
          </cell>
          <cell r="AP199">
            <v>0</v>
          </cell>
          <cell r="AQ199">
            <v>0</v>
          </cell>
        </row>
        <row r="200">
          <cell r="V200">
            <v>0</v>
          </cell>
          <cell r="W200">
            <v>0</v>
          </cell>
          <cell r="Z200">
            <v>0</v>
          </cell>
          <cell r="AA200">
            <v>0</v>
          </cell>
          <cell r="AD200">
            <v>0</v>
          </cell>
          <cell r="AE200">
            <v>0</v>
          </cell>
          <cell r="AH200">
            <v>0</v>
          </cell>
          <cell r="AI200">
            <v>0</v>
          </cell>
          <cell r="AL200">
            <v>0</v>
          </cell>
          <cell r="AM200">
            <v>0</v>
          </cell>
          <cell r="AP200">
            <v>0</v>
          </cell>
          <cell r="AQ200">
            <v>0</v>
          </cell>
        </row>
        <row r="201">
          <cell r="V201">
            <v>0</v>
          </cell>
          <cell r="W201">
            <v>0</v>
          </cell>
          <cell r="Z201">
            <v>0</v>
          </cell>
          <cell r="AA201">
            <v>0</v>
          </cell>
          <cell r="AD201">
            <v>0</v>
          </cell>
          <cell r="AE201">
            <v>0</v>
          </cell>
          <cell r="AH201">
            <v>0</v>
          </cell>
          <cell r="AI201">
            <v>0</v>
          </cell>
          <cell r="AL201">
            <v>0</v>
          </cell>
          <cell r="AM201">
            <v>0</v>
          </cell>
          <cell r="AP201">
            <v>0</v>
          </cell>
          <cell r="AQ201">
            <v>0</v>
          </cell>
        </row>
        <row r="202">
          <cell r="V202">
            <v>0</v>
          </cell>
          <cell r="W202">
            <v>0</v>
          </cell>
          <cell r="Z202">
            <v>0</v>
          </cell>
          <cell r="AA202">
            <v>0</v>
          </cell>
          <cell r="AD202">
            <v>0</v>
          </cell>
          <cell r="AE202">
            <v>0</v>
          </cell>
          <cell r="AH202">
            <v>0</v>
          </cell>
          <cell r="AI202">
            <v>0</v>
          </cell>
          <cell r="AL202">
            <v>0</v>
          </cell>
          <cell r="AM202">
            <v>0</v>
          </cell>
          <cell r="AP202">
            <v>0</v>
          </cell>
          <cell r="AQ202">
            <v>0</v>
          </cell>
        </row>
        <row r="203">
          <cell r="V203">
            <v>1.1504861863311167</v>
          </cell>
          <cell r="W203">
            <v>3.5758354440021192</v>
          </cell>
          <cell r="Z203">
            <v>2.3942476044075631</v>
          </cell>
          <cell r="AA203">
            <v>7.4415803920775607</v>
          </cell>
          <cell r="AD203">
            <v>3.8629339583398878</v>
          </cell>
          <cell r="AE203">
            <v>12.006416357002355</v>
          </cell>
          <cell r="AH203">
            <v>6.368649009857414</v>
          </cell>
          <cell r="AI203">
            <v>19.794449625232502</v>
          </cell>
          <cell r="AL203">
            <v>9.2306213971757156</v>
          </cell>
          <cell r="AM203">
            <v>28.689769207438033</v>
          </cell>
          <cell r="AP203">
            <v>11.657803790853031</v>
          </cell>
          <cell r="AQ203">
            <v>36.233714485083745</v>
          </cell>
        </row>
        <row r="204">
          <cell r="V204">
            <v>0</v>
          </cell>
          <cell r="W204">
            <v>0</v>
          </cell>
          <cell r="Z204">
            <v>0</v>
          </cell>
          <cell r="AA204">
            <v>0</v>
          </cell>
          <cell r="AD204">
            <v>0</v>
          </cell>
          <cell r="AE204">
            <v>0</v>
          </cell>
          <cell r="AH204">
            <v>0</v>
          </cell>
          <cell r="AI204">
            <v>0</v>
          </cell>
          <cell r="AL204">
            <v>2.015246897486685E-2</v>
          </cell>
          <cell r="AM204">
            <v>6.7384818134711033E-2</v>
          </cell>
          <cell r="AP204">
            <v>0.35798625871984163</v>
          </cell>
          <cell r="AQ204">
            <v>1.1970165525944705</v>
          </cell>
        </row>
        <row r="205">
          <cell r="V205">
            <v>0</v>
          </cell>
          <cell r="W205">
            <v>0</v>
          </cell>
          <cell r="Z205">
            <v>0</v>
          </cell>
          <cell r="AA205">
            <v>0</v>
          </cell>
          <cell r="AD205">
            <v>0</v>
          </cell>
          <cell r="AE205">
            <v>0</v>
          </cell>
          <cell r="AH205">
            <v>0</v>
          </cell>
          <cell r="AI205">
            <v>0</v>
          </cell>
          <cell r="AL205">
            <v>0</v>
          </cell>
          <cell r="AM205">
            <v>0</v>
          </cell>
          <cell r="AP205">
            <v>0</v>
          </cell>
          <cell r="AQ205">
            <v>0</v>
          </cell>
        </row>
        <row r="206">
          <cell r="V206">
            <v>0</v>
          </cell>
          <cell r="W206">
            <v>0</v>
          </cell>
          <cell r="Z206">
            <v>0</v>
          </cell>
          <cell r="AA206">
            <v>0</v>
          </cell>
          <cell r="AD206">
            <v>0</v>
          </cell>
          <cell r="AE206">
            <v>0</v>
          </cell>
          <cell r="AH206">
            <v>0</v>
          </cell>
          <cell r="AI206">
            <v>0</v>
          </cell>
          <cell r="AL206">
            <v>0</v>
          </cell>
          <cell r="AM206">
            <v>0</v>
          </cell>
          <cell r="AP206">
            <v>0</v>
          </cell>
          <cell r="AQ206">
            <v>0</v>
          </cell>
        </row>
        <row r="207">
          <cell r="V207">
            <v>0</v>
          </cell>
          <cell r="W207">
            <v>0</v>
          </cell>
          <cell r="Z207">
            <v>0</v>
          </cell>
          <cell r="AA207">
            <v>0</v>
          </cell>
          <cell r="AD207">
            <v>0</v>
          </cell>
          <cell r="AE207">
            <v>0</v>
          </cell>
          <cell r="AH207">
            <v>0</v>
          </cell>
          <cell r="AI207">
            <v>0</v>
          </cell>
          <cell r="AL207">
            <v>0</v>
          </cell>
          <cell r="AM207">
            <v>0</v>
          </cell>
          <cell r="AP207">
            <v>0</v>
          </cell>
          <cell r="AQ207">
            <v>0</v>
          </cell>
        </row>
        <row r="208">
          <cell r="V208">
            <v>0</v>
          </cell>
          <cell r="W208">
            <v>0</v>
          </cell>
          <cell r="Z208">
            <v>0</v>
          </cell>
          <cell r="AA208">
            <v>0</v>
          </cell>
          <cell r="AD208">
            <v>0</v>
          </cell>
          <cell r="AE208">
            <v>0</v>
          </cell>
          <cell r="AH208">
            <v>0</v>
          </cell>
          <cell r="AI208">
            <v>0</v>
          </cell>
          <cell r="AL208">
            <v>0</v>
          </cell>
          <cell r="AM208">
            <v>0</v>
          </cell>
          <cell r="AP208">
            <v>0</v>
          </cell>
          <cell r="AQ208">
            <v>0</v>
          </cell>
        </row>
        <row r="209">
          <cell r="V209">
            <v>0</v>
          </cell>
          <cell r="W209">
            <v>0</v>
          </cell>
          <cell r="Z209">
            <v>0</v>
          </cell>
          <cell r="AA209">
            <v>0</v>
          </cell>
          <cell r="AD209">
            <v>0</v>
          </cell>
          <cell r="AE209">
            <v>0</v>
          </cell>
          <cell r="AH209">
            <v>0</v>
          </cell>
          <cell r="AI209">
            <v>0</v>
          </cell>
          <cell r="AL209">
            <v>0</v>
          </cell>
          <cell r="AM209">
            <v>0</v>
          </cell>
          <cell r="AP209">
            <v>0</v>
          </cell>
          <cell r="AQ209">
            <v>0</v>
          </cell>
        </row>
        <row r="210">
          <cell r="V210">
            <v>0</v>
          </cell>
          <cell r="W210">
            <v>0</v>
          </cell>
          <cell r="Z210">
            <v>0</v>
          </cell>
          <cell r="AA210">
            <v>0</v>
          </cell>
          <cell r="AD210">
            <v>0</v>
          </cell>
          <cell r="AE210">
            <v>0</v>
          </cell>
          <cell r="AH210">
            <v>0</v>
          </cell>
          <cell r="AI210">
            <v>0</v>
          </cell>
          <cell r="AL210">
            <v>0</v>
          </cell>
          <cell r="AM210">
            <v>0</v>
          </cell>
          <cell r="AP210">
            <v>0</v>
          </cell>
          <cell r="AQ210">
            <v>0</v>
          </cell>
        </row>
        <row r="211">
          <cell r="V211">
            <v>0</v>
          </cell>
          <cell r="W211">
            <v>0</v>
          </cell>
          <cell r="Z211">
            <v>0</v>
          </cell>
          <cell r="AA211">
            <v>0</v>
          </cell>
          <cell r="AD211">
            <v>0</v>
          </cell>
          <cell r="AE211">
            <v>0</v>
          </cell>
          <cell r="AH211">
            <v>0</v>
          </cell>
          <cell r="AI211">
            <v>0</v>
          </cell>
          <cell r="AL211">
            <v>0</v>
          </cell>
          <cell r="AM211">
            <v>0</v>
          </cell>
          <cell r="AP211">
            <v>0</v>
          </cell>
          <cell r="AQ211">
            <v>0</v>
          </cell>
        </row>
        <row r="212">
          <cell r="V212">
            <v>0</v>
          </cell>
          <cell r="W212">
            <v>0</v>
          </cell>
          <cell r="Z212">
            <v>0</v>
          </cell>
          <cell r="AA212">
            <v>0</v>
          </cell>
          <cell r="AD212">
            <v>0</v>
          </cell>
          <cell r="AE212">
            <v>0</v>
          </cell>
          <cell r="AH212">
            <v>0</v>
          </cell>
          <cell r="AI212">
            <v>0</v>
          </cell>
          <cell r="AL212">
            <v>0</v>
          </cell>
          <cell r="AM212">
            <v>0</v>
          </cell>
          <cell r="AP212">
            <v>0</v>
          </cell>
          <cell r="AQ212">
            <v>0</v>
          </cell>
        </row>
        <row r="213">
          <cell r="V213">
            <v>0</v>
          </cell>
          <cell r="W213">
            <v>0</v>
          </cell>
          <cell r="Z213">
            <v>0</v>
          </cell>
          <cell r="AA213">
            <v>0</v>
          </cell>
          <cell r="AD213">
            <v>0</v>
          </cell>
          <cell r="AE213">
            <v>0</v>
          </cell>
          <cell r="AH213">
            <v>0</v>
          </cell>
          <cell r="AI213">
            <v>0</v>
          </cell>
          <cell r="AL213">
            <v>0</v>
          </cell>
          <cell r="AM213">
            <v>0</v>
          </cell>
          <cell r="AP213">
            <v>0</v>
          </cell>
          <cell r="AQ213">
            <v>0</v>
          </cell>
        </row>
        <row r="214">
          <cell r="V214">
            <v>0</v>
          </cell>
          <cell r="W214">
            <v>0</v>
          </cell>
          <cell r="Z214">
            <v>0</v>
          </cell>
          <cell r="AA214">
            <v>0</v>
          </cell>
          <cell r="AD214">
            <v>0</v>
          </cell>
          <cell r="AE214">
            <v>0</v>
          </cell>
          <cell r="AH214">
            <v>0</v>
          </cell>
          <cell r="AI214">
            <v>0</v>
          </cell>
          <cell r="AL214">
            <v>0</v>
          </cell>
          <cell r="AM214">
            <v>0</v>
          </cell>
          <cell r="AP214">
            <v>0</v>
          </cell>
          <cell r="AQ214">
            <v>0</v>
          </cell>
        </row>
        <row r="215">
          <cell r="V215">
            <v>0</v>
          </cell>
          <cell r="W215">
            <v>0</v>
          </cell>
          <cell r="Z215">
            <v>0</v>
          </cell>
          <cell r="AA215">
            <v>0</v>
          </cell>
          <cell r="AD215">
            <v>0</v>
          </cell>
          <cell r="AE215">
            <v>0</v>
          </cell>
          <cell r="AH215">
            <v>0</v>
          </cell>
          <cell r="AI215">
            <v>0</v>
          </cell>
          <cell r="AL215">
            <v>0</v>
          </cell>
          <cell r="AM215">
            <v>0</v>
          </cell>
          <cell r="AP215">
            <v>0</v>
          </cell>
          <cell r="AQ215">
            <v>0</v>
          </cell>
        </row>
        <row r="216">
          <cell r="V216">
            <v>0</v>
          </cell>
          <cell r="W216">
            <v>0</v>
          </cell>
          <cell r="Z216">
            <v>0</v>
          </cell>
          <cell r="AA216">
            <v>0</v>
          </cell>
          <cell r="AD216">
            <v>0</v>
          </cell>
          <cell r="AE216">
            <v>0</v>
          </cell>
          <cell r="AH216">
            <v>0</v>
          </cell>
          <cell r="AI216">
            <v>0</v>
          </cell>
          <cell r="AL216">
            <v>0</v>
          </cell>
          <cell r="AM216">
            <v>0</v>
          </cell>
          <cell r="AP216">
            <v>0</v>
          </cell>
          <cell r="AQ216">
            <v>0</v>
          </cell>
        </row>
        <row r="217">
          <cell r="V217">
            <v>0</v>
          </cell>
          <cell r="W217">
            <v>0</v>
          </cell>
          <cell r="Z217">
            <v>0</v>
          </cell>
          <cell r="AA217">
            <v>0</v>
          </cell>
          <cell r="AD217">
            <v>0</v>
          </cell>
          <cell r="AE217">
            <v>0</v>
          </cell>
          <cell r="AH217">
            <v>0</v>
          </cell>
          <cell r="AI217">
            <v>0</v>
          </cell>
          <cell r="AL217">
            <v>0</v>
          </cell>
          <cell r="AM217">
            <v>0</v>
          </cell>
          <cell r="AP217">
            <v>0</v>
          </cell>
          <cell r="AQ217">
            <v>0</v>
          </cell>
        </row>
        <row r="218">
          <cell r="V218">
            <v>0</v>
          </cell>
          <cell r="W218">
            <v>0</v>
          </cell>
          <cell r="Z218">
            <v>0</v>
          </cell>
          <cell r="AA218">
            <v>0</v>
          </cell>
          <cell r="AD218">
            <v>0</v>
          </cell>
          <cell r="AE218">
            <v>0</v>
          </cell>
          <cell r="AH218">
            <v>0</v>
          </cell>
          <cell r="AI218">
            <v>0</v>
          </cell>
          <cell r="AL218">
            <v>0</v>
          </cell>
          <cell r="AM218">
            <v>0</v>
          </cell>
          <cell r="AP218">
            <v>0</v>
          </cell>
          <cell r="AQ218">
            <v>0</v>
          </cell>
        </row>
        <row r="219">
          <cell r="V219">
            <v>0</v>
          </cell>
          <cell r="W219">
            <v>0</v>
          </cell>
          <cell r="Z219">
            <v>0</v>
          </cell>
          <cell r="AA219">
            <v>0</v>
          </cell>
          <cell r="AD219">
            <v>0</v>
          </cell>
          <cell r="AE219">
            <v>0</v>
          </cell>
          <cell r="AH219">
            <v>0</v>
          </cell>
          <cell r="AI219">
            <v>0</v>
          </cell>
          <cell r="AL219">
            <v>0</v>
          </cell>
          <cell r="AM219">
            <v>0</v>
          </cell>
          <cell r="AP219">
            <v>0</v>
          </cell>
          <cell r="AQ219">
            <v>0</v>
          </cell>
        </row>
        <row r="220">
          <cell r="V220">
            <v>0</v>
          </cell>
          <cell r="W220">
            <v>0</v>
          </cell>
          <cell r="Z220">
            <v>0</v>
          </cell>
          <cell r="AA220">
            <v>0</v>
          </cell>
          <cell r="AD220">
            <v>0</v>
          </cell>
          <cell r="AE220">
            <v>0</v>
          </cell>
          <cell r="AH220">
            <v>0</v>
          </cell>
          <cell r="AI220">
            <v>0</v>
          </cell>
          <cell r="AL220">
            <v>0</v>
          </cell>
          <cell r="AM220">
            <v>0</v>
          </cell>
          <cell r="AP220">
            <v>0</v>
          </cell>
          <cell r="AQ220">
            <v>0</v>
          </cell>
        </row>
        <row r="221">
          <cell r="V221">
            <v>0</v>
          </cell>
          <cell r="W221">
            <v>0</v>
          </cell>
          <cell r="Z221">
            <v>0</v>
          </cell>
          <cell r="AA221">
            <v>0</v>
          </cell>
          <cell r="AD221">
            <v>0</v>
          </cell>
          <cell r="AE221">
            <v>0</v>
          </cell>
          <cell r="AH221">
            <v>0</v>
          </cell>
          <cell r="AI221">
            <v>0</v>
          </cell>
          <cell r="AL221">
            <v>0</v>
          </cell>
          <cell r="AM221">
            <v>0</v>
          </cell>
          <cell r="AP221">
            <v>0</v>
          </cell>
          <cell r="AQ221">
            <v>0</v>
          </cell>
        </row>
        <row r="222">
          <cell r="V222">
            <v>0</v>
          </cell>
          <cell r="W222">
            <v>0</v>
          </cell>
          <cell r="Z222">
            <v>0</v>
          </cell>
          <cell r="AA222">
            <v>0</v>
          </cell>
          <cell r="AD222">
            <v>0</v>
          </cell>
          <cell r="AE222">
            <v>0</v>
          </cell>
          <cell r="AH222">
            <v>0</v>
          </cell>
          <cell r="AI222">
            <v>0</v>
          </cell>
          <cell r="AL222">
            <v>0</v>
          </cell>
          <cell r="AM222">
            <v>0</v>
          </cell>
          <cell r="AP222">
            <v>0</v>
          </cell>
          <cell r="AQ222">
            <v>0</v>
          </cell>
        </row>
        <row r="223">
          <cell r="V223">
            <v>0</v>
          </cell>
          <cell r="W223">
            <v>0</v>
          </cell>
          <cell r="Z223">
            <v>0</v>
          </cell>
          <cell r="AA223">
            <v>0</v>
          </cell>
          <cell r="AD223">
            <v>0</v>
          </cell>
          <cell r="AE223">
            <v>0</v>
          </cell>
          <cell r="AH223">
            <v>0</v>
          </cell>
          <cell r="AI223">
            <v>0</v>
          </cell>
          <cell r="AL223">
            <v>0</v>
          </cell>
          <cell r="AM223">
            <v>0</v>
          </cell>
          <cell r="AP223">
            <v>0</v>
          </cell>
          <cell r="AQ223">
            <v>0</v>
          </cell>
        </row>
        <row r="224">
          <cell r="V224">
            <v>0</v>
          </cell>
          <cell r="W224">
            <v>0.18392328006072428</v>
          </cell>
          <cell r="Z224">
            <v>0</v>
          </cell>
          <cell r="AA224">
            <v>0.23840034996098416</v>
          </cell>
          <cell r="AD224">
            <v>0</v>
          </cell>
          <cell r="AE224">
            <v>0.29097405152591793</v>
          </cell>
          <cell r="AH224">
            <v>0</v>
          </cell>
          <cell r="AI224">
            <v>0.32832430335504043</v>
          </cell>
          <cell r="AL224">
            <v>0</v>
          </cell>
          <cell r="AM224">
            <v>0.34468171084976368</v>
          </cell>
          <cell r="AP224">
            <v>0</v>
          </cell>
          <cell r="AQ224">
            <v>0.35770061605588926</v>
          </cell>
        </row>
        <row r="225">
          <cell r="V225">
            <v>0</v>
          </cell>
          <cell r="W225">
            <v>0</v>
          </cell>
          <cell r="Z225">
            <v>0</v>
          </cell>
          <cell r="AA225">
            <v>0</v>
          </cell>
          <cell r="AD225">
            <v>0</v>
          </cell>
          <cell r="AE225">
            <v>0</v>
          </cell>
          <cell r="AH225">
            <v>0</v>
          </cell>
          <cell r="AI225">
            <v>0</v>
          </cell>
          <cell r="AL225">
            <v>0</v>
          </cell>
          <cell r="AM225">
            <v>0</v>
          </cell>
          <cell r="AP225">
            <v>0</v>
          </cell>
          <cell r="AQ225">
            <v>0</v>
          </cell>
        </row>
        <row r="226">
          <cell r="V226">
            <v>0</v>
          </cell>
          <cell r="W226">
            <v>0</v>
          </cell>
          <cell r="Z226">
            <v>0</v>
          </cell>
          <cell r="AA226">
            <v>0</v>
          </cell>
          <cell r="AD226">
            <v>0</v>
          </cell>
          <cell r="AE226">
            <v>0</v>
          </cell>
          <cell r="AH226">
            <v>0</v>
          </cell>
          <cell r="AI226">
            <v>0</v>
          </cell>
          <cell r="AL226">
            <v>0</v>
          </cell>
          <cell r="AM226">
            <v>0</v>
          </cell>
          <cell r="AP226">
            <v>0</v>
          </cell>
          <cell r="AQ226">
            <v>0</v>
          </cell>
        </row>
        <row r="227">
          <cell r="V227">
            <v>0</v>
          </cell>
          <cell r="W227">
            <v>0.7854604515883139</v>
          </cell>
          <cell r="Z227">
            <v>0</v>
          </cell>
          <cell r="AA227">
            <v>1.6995087346314808</v>
          </cell>
          <cell r="AD227">
            <v>0</v>
          </cell>
          <cell r="AE227">
            <v>1.9672857463556477</v>
          </cell>
          <cell r="AH227">
            <v>0</v>
          </cell>
          <cell r="AI227">
            <v>2.0527040585548764</v>
          </cell>
          <cell r="AL227">
            <v>0</v>
          </cell>
          <cell r="AM227">
            <v>2.1241300613791889</v>
          </cell>
          <cell r="AP227">
            <v>0</v>
          </cell>
          <cell r="AQ227">
            <v>2.1824450918060703</v>
          </cell>
        </row>
        <row r="228">
          <cell r="V228">
            <v>0</v>
          </cell>
          <cell r="W228">
            <v>0</v>
          </cell>
          <cell r="Z228">
            <v>0</v>
          </cell>
          <cell r="AA228">
            <v>0</v>
          </cell>
          <cell r="AD228">
            <v>0</v>
          </cell>
          <cell r="AE228">
            <v>0</v>
          </cell>
          <cell r="AH228">
            <v>0</v>
          </cell>
          <cell r="AI228">
            <v>0</v>
          </cell>
          <cell r="AL228">
            <v>0</v>
          </cell>
          <cell r="AM228">
            <v>0</v>
          </cell>
          <cell r="AP228">
            <v>0</v>
          </cell>
          <cell r="AQ228">
            <v>0</v>
          </cell>
        </row>
        <row r="229">
          <cell r="V229">
            <v>0</v>
          </cell>
          <cell r="W229">
            <v>0</v>
          </cell>
          <cell r="Z229">
            <v>0</v>
          </cell>
          <cell r="AA229">
            <v>0</v>
          </cell>
          <cell r="AD229">
            <v>0</v>
          </cell>
          <cell r="AE229">
            <v>0</v>
          </cell>
          <cell r="AH229">
            <v>0</v>
          </cell>
          <cell r="AI229">
            <v>0</v>
          </cell>
          <cell r="AL229">
            <v>0</v>
          </cell>
          <cell r="AM229">
            <v>0</v>
          </cell>
          <cell r="AP229">
            <v>0</v>
          </cell>
          <cell r="AQ229">
            <v>0</v>
          </cell>
        </row>
        <row r="230">
          <cell r="V230">
            <v>0</v>
          </cell>
          <cell r="W230">
            <v>0.11947971023436017</v>
          </cell>
          <cell r="Z230">
            <v>0</v>
          </cell>
          <cell r="AA230">
            <v>0.29260453462427433</v>
          </cell>
          <cell r="AD230">
            <v>0</v>
          </cell>
          <cell r="AE230">
            <v>0.54090055428877915</v>
          </cell>
          <cell r="AH230">
            <v>0</v>
          </cell>
          <cell r="AI230">
            <v>0.59197250605910723</v>
          </cell>
          <cell r="AL230">
            <v>0</v>
          </cell>
          <cell r="AM230">
            <v>0.65237597706964823</v>
          </cell>
          <cell r="AP230">
            <v>0</v>
          </cell>
          <cell r="AQ230">
            <v>0.69197811172449042</v>
          </cell>
        </row>
        <row r="231">
          <cell r="V231">
            <v>0</v>
          </cell>
          <cell r="W231">
            <v>0</v>
          </cell>
          <cell r="Z231">
            <v>0</v>
          </cell>
          <cell r="AA231">
            <v>0</v>
          </cell>
          <cell r="AD231">
            <v>0</v>
          </cell>
          <cell r="AE231">
            <v>0</v>
          </cell>
          <cell r="AH231">
            <v>0</v>
          </cell>
          <cell r="AI231">
            <v>0</v>
          </cell>
          <cell r="AL231">
            <v>0</v>
          </cell>
          <cell r="AM231">
            <v>0</v>
          </cell>
          <cell r="AP231">
            <v>0</v>
          </cell>
          <cell r="AQ231">
            <v>0</v>
          </cell>
        </row>
        <row r="232">
          <cell r="V232">
            <v>0</v>
          </cell>
          <cell r="W232">
            <v>0</v>
          </cell>
          <cell r="Z232">
            <v>0</v>
          </cell>
          <cell r="AA232">
            <v>0</v>
          </cell>
          <cell r="AD232">
            <v>0</v>
          </cell>
          <cell r="AE232">
            <v>0</v>
          </cell>
          <cell r="AH232">
            <v>0</v>
          </cell>
          <cell r="AI232">
            <v>0</v>
          </cell>
          <cell r="AL232">
            <v>0</v>
          </cell>
          <cell r="AM232">
            <v>0</v>
          </cell>
          <cell r="AP232">
            <v>0</v>
          </cell>
          <cell r="AQ232">
            <v>0</v>
          </cell>
        </row>
        <row r="233">
          <cell r="V233">
            <v>0</v>
          </cell>
          <cell r="W233">
            <v>0</v>
          </cell>
          <cell r="Z233">
            <v>0</v>
          </cell>
          <cell r="AA233">
            <v>0</v>
          </cell>
          <cell r="AD233">
            <v>0</v>
          </cell>
          <cell r="AE233">
            <v>0</v>
          </cell>
          <cell r="AH233">
            <v>0</v>
          </cell>
          <cell r="AI233">
            <v>0</v>
          </cell>
          <cell r="AL233">
            <v>0</v>
          </cell>
          <cell r="AM233">
            <v>0</v>
          </cell>
          <cell r="AP233">
            <v>0</v>
          </cell>
          <cell r="AQ233">
            <v>0</v>
          </cell>
        </row>
        <row r="234">
          <cell r="V234">
            <v>0</v>
          </cell>
          <cell r="W234">
            <v>0</v>
          </cell>
          <cell r="Z234">
            <v>0</v>
          </cell>
          <cell r="AA234">
            <v>0</v>
          </cell>
          <cell r="AD234">
            <v>0</v>
          </cell>
          <cell r="AE234">
            <v>0</v>
          </cell>
          <cell r="AH234">
            <v>0</v>
          </cell>
          <cell r="AI234">
            <v>0</v>
          </cell>
          <cell r="AL234">
            <v>0</v>
          </cell>
          <cell r="AM234">
            <v>0</v>
          </cell>
          <cell r="AP234">
            <v>0</v>
          </cell>
          <cell r="AQ234">
            <v>0</v>
          </cell>
        </row>
        <row r="235">
          <cell r="V235">
            <v>0</v>
          </cell>
          <cell r="W235">
            <v>0</v>
          </cell>
          <cell r="Z235">
            <v>0</v>
          </cell>
          <cell r="AA235">
            <v>0</v>
          </cell>
          <cell r="AD235">
            <v>0</v>
          </cell>
          <cell r="AE235">
            <v>0</v>
          </cell>
          <cell r="AH235">
            <v>0</v>
          </cell>
          <cell r="AI235">
            <v>0</v>
          </cell>
          <cell r="AL235">
            <v>0</v>
          </cell>
          <cell r="AM235">
            <v>0</v>
          </cell>
          <cell r="AP235">
            <v>0</v>
          </cell>
          <cell r="AQ235">
            <v>0</v>
          </cell>
        </row>
        <row r="236">
          <cell r="V236">
            <v>0</v>
          </cell>
          <cell r="W236">
            <v>0</v>
          </cell>
          <cell r="Z236">
            <v>0</v>
          </cell>
          <cell r="AA236">
            <v>0</v>
          </cell>
          <cell r="AD236">
            <v>0</v>
          </cell>
          <cell r="AE236">
            <v>0</v>
          </cell>
          <cell r="AH236">
            <v>0</v>
          </cell>
          <cell r="AI236">
            <v>0</v>
          </cell>
          <cell r="AL236">
            <v>0</v>
          </cell>
          <cell r="AM236">
            <v>0</v>
          </cell>
          <cell r="AP236">
            <v>0</v>
          </cell>
          <cell r="AQ236">
            <v>0</v>
          </cell>
        </row>
        <row r="237">
          <cell r="V237">
            <v>0</v>
          </cell>
          <cell r="W237">
            <v>0</v>
          </cell>
          <cell r="Z237">
            <v>0</v>
          </cell>
          <cell r="AA237">
            <v>0</v>
          </cell>
          <cell r="AD237">
            <v>0</v>
          </cell>
          <cell r="AE237">
            <v>0</v>
          </cell>
          <cell r="AH237">
            <v>0</v>
          </cell>
          <cell r="AI237">
            <v>0</v>
          </cell>
          <cell r="AL237">
            <v>0</v>
          </cell>
          <cell r="AM237">
            <v>0</v>
          </cell>
          <cell r="AP237">
            <v>0</v>
          </cell>
          <cell r="AQ237">
            <v>0</v>
          </cell>
        </row>
        <row r="238">
          <cell r="V238">
            <v>0</v>
          </cell>
          <cell r="W238">
            <v>0</v>
          </cell>
          <cell r="Z238">
            <v>0</v>
          </cell>
          <cell r="AA238">
            <v>0</v>
          </cell>
          <cell r="AD238">
            <v>0</v>
          </cell>
          <cell r="AE238">
            <v>0</v>
          </cell>
          <cell r="AH238">
            <v>0</v>
          </cell>
          <cell r="AI238">
            <v>0</v>
          </cell>
          <cell r="AL238">
            <v>0</v>
          </cell>
          <cell r="AM238">
            <v>0</v>
          </cell>
          <cell r="AP238">
            <v>0</v>
          </cell>
          <cell r="AQ238">
            <v>0</v>
          </cell>
        </row>
        <row r="239">
          <cell r="V239">
            <v>0</v>
          </cell>
          <cell r="W239">
            <v>0</v>
          </cell>
          <cell r="Z239">
            <v>0</v>
          </cell>
          <cell r="AA239">
            <v>0</v>
          </cell>
          <cell r="AD239">
            <v>0</v>
          </cell>
          <cell r="AE239">
            <v>0</v>
          </cell>
          <cell r="AH239">
            <v>0</v>
          </cell>
          <cell r="AI239">
            <v>0</v>
          </cell>
          <cell r="AL239">
            <v>0</v>
          </cell>
          <cell r="AM239">
            <v>0</v>
          </cell>
          <cell r="AP239">
            <v>0</v>
          </cell>
          <cell r="AQ239">
            <v>0</v>
          </cell>
        </row>
        <row r="240">
          <cell r="V240">
            <v>0</v>
          </cell>
          <cell r="W240">
            <v>0</v>
          </cell>
          <cell r="Z240">
            <v>0</v>
          </cell>
          <cell r="AA240">
            <v>0</v>
          </cell>
          <cell r="AD240">
            <v>0</v>
          </cell>
          <cell r="AE240">
            <v>0</v>
          </cell>
          <cell r="AH240">
            <v>0</v>
          </cell>
          <cell r="AI240">
            <v>0</v>
          </cell>
          <cell r="AL240">
            <v>0</v>
          </cell>
          <cell r="AM240">
            <v>0</v>
          </cell>
          <cell r="AP240">
            <v>0</v>
          </cell>
          <cell r="AQ240">
            <v>0</v>
          </cell>
        </row>
        <row r="241">
          <cell r="V241">
            <v>0</v>
          </cell>
          <cell r="W241">
            <v>0</v>
          </cell>
          <cell r="Z241">
            <v>0</v>
          </cell>
          <cell r="AA241">
            <v>0</v>
          </cell>
          <cell r="AD241">
            <v>0</v>
          </cell>
          <cell r="AE241">
            <v>0</v>
          </cell>
          <cell r="AH241">
            <v>0</v>
          </cell>
          <cell r="AI241">
            <v>0</v>
          </cell>
          <cell r="AL241">
            <v>0</v>
          </cell>
          <cell r="AM241">
            <v>0</v>
          </cell>
          <cell r="AP241">
            <v>0</v>
          </cell>
          <cell r="AQ241">
            <v>0</v>
          </cell>
        </row>
        <row r="242">
          <cell r="V242">
            <v>0</v>
          </cell>
          <cell r="W242">
            <v>0</v>
          </cell>
          <cell r="Z242">
            <v>0</v>
          </cell>
          <cell r="AA242">
            <v>0</v>
          </cell>
          <cell r="AD242">
            <v>0</v>
          </cell>
          <cell r="AE242">
            <v>0</v>
          </cell>
          <cell r="AH242">
            <v>0</v>
          </cell>
          <cell r="AI242">
            <v>0</v>
          </cell>
          <cell r="AL242">
            <v>0</v>
          </cell>
          <cell r="AM242">
            <v>0</v>
          </cell>
          <cell r="AP242">
            <v>0</v>
          </cell>
          <cell r="AQ242">
            <v>0</v>
          </cell>
        </row>
        <row r="243">
          <cell r="V243">
            <v>5.0568208283448067E-2</v>
          </cell>
          <cell r="W243">
            <v>0.12642052070862017</v>
          </cell>
          <cell r="Z243">
            <v>8.288670977296457E-2</v>
          </cell>
          <cell r="AA243">
            <v>0.20721677443241143</v>
          </cell>
          <cell r="AD243">
            <v>0.12078328853178098</v>
          </cell>
          <cell r="AE243">
            <v>0.30195822132945244</v>
          </cell>
          <cell r="AH243">
            <v>0.15988466407784221</v>
          </cell>
          <cell r="AI243">
            <v>0.39971166019460552</v>
          </cell>
          <cell r="AL243">
            <v>0.20596418858324023</v>
          </cell>
          <cell r="AM243">
            <v>0.51491047145810054</v>
          </cell>
          <cell r="AP243">
            <v>0.27378353976045389</v>
          </cell>
          <cell r="AQ243">
            <v>0.68445884940113477</v>
          </cell>
        </row>
        <row r="244">
          <cell r="V244">
            <v>0</v>
          </cell>
          <cell r="W244">
            <v>0</v>
          </cell>
          <cell r="Z244">
            <v>0</v>
          </cell>
          <cell r="AA244">
            <v>0</v>
          </cell>
          <cell r="AD244">
            <v>0</v>
          </cell>
          <cell r="AE244">
            <v>0</v>
          </cell>
          <cell r="AH244">
            <v>0</v>
          </cell>
          <cell r="AI244">
            <v>0</v>
          </cell>
          <cell r="AL244">
            <v>0</v>
          </cell>
          <cell r="AM244">
            <v>0</v>
          </cell>
          <cell r="AP244">
            <v>0</v>
          </cell>
          <cell r="AQ244">
            <v>0</v>
          </cell>
        </row>
        <row r="245">
          <cell r="V245">
            <v>0</v>
          </cell>
          <cell r="W245">
            <v>0</v>
          </cell>
          <cell r="Z245">
            <v>0</v>
          </cell>
          <cell r="AA245">
            <v>0</v>
          </cell>
          <cell r="AD245">
            <v>0</v>
          </cell>
          <cell r="AE245">
            <v>0</v>
          </cell>
          <cell r="AH245">
            <v>0</v>
          </cell>
          <cell r="AI245">
            <v>0</v>
          </cell>
          <cell r="AL245">
            <v>0</v>
          </cell>
          <cell r="AM245">
            <v>0</v>
          </cell>
          <cell r="AP245">
            <v>2.765584947193013</v>
          </cell>
          <cell r="AQ245">
            <v>6.0289751848807684</v>
          </cell>
        </row>
        <row r="246">
          <cell r="V246">
            <v>0</v>
          </cell>
          <cell r="W246">
            <v>0</v>
          </cell>
          <cell r="Z246">
            <v>0</v>
          </cell>
          <cell r="AA246">
            <v>0</v>
          </cell>
          <cell r="AD246">
            <v>0</v>
          </cell>
          <cell r="AE246">
            <v>0</v>
          </cell>
          <cell r="AH246">
            <v>0</v>
          </cell>
          <cell r="AI246">
            <v>0</v>
          </cell>
          <cell r="AL246">
            <v>0</v>
          </cell>
          <cell r="AM246">
            <v>0</v>
          </cell>
          <cell r="AP246">
            <v>0</v>
          </cell>
          <cell r="AQ246">
            <v>0</v>
          </cell>
        </row>
        <row r="247">
          <cell r="V247">
            <v>0</v>
          </cell>
          <cell r="W247">
            <v>0</v>
          </cell>
          <cell r="Z247">
            <v>0</v>
          </cell>
          <cell r="AA247">
            <v>0</v>
          </cell>
          <cell r="AD247">
            <v>0</v>
          </cell>
          <cell r="AE247">
            <v>0</v>
          </cell>
          <cell r="AH247">
            <v>0</v>
          </cell>
          <cell r="AI247">
            <v>0</v>
          </cell>
          <cell r="AL247">
            <v>0</v>
          </cell>
          <cell r="AM247">
            <v>0</v>
          </cell>
          <cell r="AP247">
            <v>0</v>
          </cell>
          <cell r="AQ247">
            <v>0</v>
          </cell>
        </row>
        <row r="248">
          <cell r="V248">
            <v>0</v>
          </cell>
          <cell r="W248">
            <v>0</v>
          </cell>
          <cell r="Z248">
            <v>0</v>
          </cell>
          <cell r="AA248">
            <v>0</v>
          </cell>
          <cell r="AD248">
            <v>0</v>
          </cell>
          <cell r="AE248">
            <v>0</v>
          </cell>
          <cell r="AH248">
            <v>0</v>
          </cell>
          <cell r="AI248">
            <v>0</v>
          </cell>
          <cell r="AL248">
            <v>0</v>
          </cell>
          <cell r="AM248">
            <v>0</v>
          </cell>
          <cell r="AP248">
            <v>0.33402170032027928</v>
          </cell>
          <cell r="AQ248">
            <v>1.5030976514412568</v>
          </cell>
        </row>
        <row r="249">
          <cell r="V249">
            <v>0</v>
          </cell>
          <cell r="W249">
            <v>0</v>
          </cell>
          <cell r="Z249">
            <v>0</v>
          </cell>
          <cell r="AA249">
            <v>0</v>
          </cell>
          <cell r="AD249">
            <v>0</v>
          </cell>
          <cell r="AE249">
            <v>0</v>
          </cell>
          <cell r="AH249">
            <v>0</v>
          </cell>
          <cell r="AI249">
            <v>0</v>
          </cell>
          <cell r="AL249">
            <v>0</v>
          </cell>
          <cell r="AM249">
            <v>0</v>
          </cell>
          <cell r="AP249">
            <v>0</v>
          </cell>
          <cell r="AQ249">
            <v>0</v>
          </cell>
        </row>
        <row r="250">
          <cell r="V250">
            <v>0</v>
          </cell>
          <cell r="W250">
            <v>0</v>
          </cell>
          <cell r="Z250">
            <v>0</v>
          </cell>
          <cell r="AA250">
            <v>0</v>
          </cell>
          <cell r="AD250">
            <v>0</v>
          </cell>
          <cell r="AE250">
            <v>0</v>
          </cell>
          <cell r="AH250">
            <v>0</v>
          </cell>
          <cell r="AI250">
            <v>0</v>
          </cell>
          <cell r="AL250">
            <v>0</v>
          </cell>
          <cell r="AM250">
            <v>0</v>
          </cell>
          <cell r="AP250">
            <v>2.2392646425429166</v>
          </cell>
          <cell r="AQ250">
            <v>4.4785292850858331</v>
          </cell>
        </row>
        <row r="251">
          <cell r="V251">
            <v>0</v>
          </cell>
          <cell r="W251">
            <v>0</v>
          </cell>
          <cell r="Z251">
            <v>0</v>
          </cell>
          <cell r="AA251">
            <v>0</v>
          </cell>
          <cell r="AD251">
            <v>0</v>
          </cell>
          <cell r="AE251">
            <v>0</v>
          </cell>
          <cell r="AH251">
            <v>0</v>
          </cell>
          <cell r="AI251">
            <v>0</v>
          </cell>
          <cell r="AL251">
            <v>0</v>
          </cell>
          <cell r="AM251">
            <v>0</v>
          </cell>
          <cell r="AP251">
            <v>0.80972248860462293</v>
          </cell>
          <cell r="AQ251">
            <v>1.4575004794883213</v>
          </cell>
        </row>
        <row r="252">
          <cell r="V252">
            <v>0</v>
          </cell>
          <cell r="W252">
            <v>0</v>
          </cell>
          <cell r="Z252">
            <v>0</v>
          </cell>
          <cell r="AA252">
            <v>0</v>
          </cell>
          <cell r="AD252">
            <v>0</v>
          </cell>
          <cell r="AE252">
            <v>0</v>
          </cell>
          <cell r="AH252">
            <v>0</v>
          </cell>
          <cell r="AI252">
            <v>0</v>
          </cell>
          <cell r="AL252">
            <v>0</v>
          </cell>
          <cell r="AM252">
            <v>0</v>
          </cell>
          <cell r="AP252">
            <v>6.9484771018158087E-2</v>
          </cell>
          <cell r="AQ252">
            <v>0.22235126725810586</v>
          </cell>
        </row>
        <row r="253">
          <cell r="V253">
            <v>0</v>
          </cell>
          <cell r="W253">
            <v>0</v>
          </cell>
          <cell r="Z253">
            <v>0</v>
          </cell>
          <cell r="AA253">
            <v>0</v>
          </cell>
          <cell r="AD253">
            <v>0</v>
          </cell>
          <cell r="AE253">
            <v>0</v>
          </cell>
          <cell r="AH253">
            <v>0</v>
          </cell>
          <cell r="AI253">
            <v>0</v>
          </cell>
          <cell r="AL253">
            <v>0</v>
          </cell>
          <cell r="AM253">
            <v>0</v>
          </cell>
          <cell r="AP253">
            <v>0</v>
          </cell>
          <cell r="AQ253">
            <v>0</v>
          </cell>
        </row>
        <row r="254">
          <cell r="V254">
            <v>0</v>
          </cell>
          <cell r="W254">
            <v>0</v>
          </cell>
          <cell r="Z254">
            <v>0</v>
          </cell>
          <cell r="AA254">
            <v>0</v>
          </cell>
          <cell r="AD254">
            <v>0</v>
          </cell>
          <cell r="AE254">
            <v>0</v>
          </cell>
          <cell r="AH254">
            <v>0</v>
          </cell>
          <cell r="AI254">
            <v>0</v>
          </cell>
          <cell r="AL254">
            <v>0</v>
          </cell>
          <cell r="AM254">
            <v>0</v>
          </cell>
          <cell r="AP254">
            <v>5.9434444385146881</v>
          </cell>
          <cell r="AQ254">
            <v>10.6132936402048</v>
          </cell>
        </row>
        <row r="255">
          <cell r="V255">
            <v>0</v>
          </cell>
          <cell r="W255">
            <v>0</v>
          </cell>
          <cell r="Z255">
            <v>0</v>
          </cell>
          <cell r="AA255">
            <v>0</v>
          </cell>
          <cell r="AD255">
            <v>0</v>
          </cell>
          <cell r="AE255">
            <v>0</v>
          </cell>
          <cell r="AH255">
            <v>0</v>
          </cell>
          <cell r="AI255">
            <v>0</v>
          </cell>
          <cell r="AL255">
            <v>0</v>
          </cell>
          <cell r="AM255">
            <v>0</v>
          </cell>
          <cell r="AP255">
            <v>24.651636165553857</v>
          </cell>
          <cell r="AQ255">
            <v>43.551223892478475</v>
          </cell>
        </row>
        <row r="256">
          <cell r="V256">
            <v>0</v>
          </cell>
          <cell r="W256">
            <v>0</v>
          </cell>
          <cell r="Z256">
            <v>0</v>
          </cell>
          <cell r="AA256">
            <v>0</v>
          </cell>
          <cell r="AD256">
            <v>0</v>
          </cell>
          <cell r="AE256">
            <v>0</v>
          </cell>
          <cell r="AH256">
            <v>0</v>
          </cell>
          <cell r="AI256">
            <v>0</v>
          </cell>
          <cell r="AL256">
            <v>0</v>
          </cell>
          <cell r="AM256">
            <v>0</v>
          </cell>
          <cell r="AP256">
            <v>39.944504264819003</v>
          </cell>
          <cell r="AQ256">
            <v>89.178428126107534</v>
          </cell>
        </row>
        <row r="257">
          <cell r="V257">
            <v>0</v>
          </cell>
          <cell r="W257">
            <v>0</v>
          </cell>
          <cell r="Z257">
            <v>0</v>
          </cell>
          <cell r="AA257">
            <v>0</v>
          </cell>
          <cell r="AD257">
            <v>0</v>
          </cell>
          <cell r="AE257">
            <v>0</v>
          </cell>
          <cell r="AH257">
            <v>0</v>
          </cell>
          <cell r="AI257">
            <v>0</v>
          </cell>
          <cell r="AL257">
            <v>0</v>
          </cell>
          <cell r="AM257">
            <v>0</v>
          </cell>
          <cell r="AP257">
            <v>20.975145607660529</v>
          </cell>
          <cell r="AQ257">
            <v>66.262391806018485</v>
          </cell>
        </row>
        <row r="258">
          <cell r="V258">
            <v>0</v>
          </cell>
          <cell r="W258">
            <v>0</v>
          </cell>
          <cell r="Z258">
            <v>0</v>
          </cell>
          <cell r="AA258">
            <v>0</v>
          </cell>
          <cell r="AD258">
            <v>0</v>
          </cell>
          <cell r="AE258">
            <v>0</v>
          </cell>
          <cell r="AH258">
            <v>0</v>
          </cell>
          <cell r="AI258">
            <v>0</v>
          </cell>
          <cell r="AL258">
            <v>0</v>
          </cell>
          <cell r="AM258">
            <v>0</v>
          </cell>
          <cell r="AP258">
            <v>23.99999999724724</v>
          </cell>
          <cell r="AQ258">
            <v>71.999999991741717</v>
          </cell>
        </row>
        <row r="259">
          <cell r="V259">
            <v>0</v>
          </cell>
          <cell r="W259">
            <v>0</v>
          </cell>
          <cell r="Z259">
            <v>0</v>
          </cell>
          <cell r="AA259">
            <v>0</v>
          </cell>
          <cell r="AD259">
            <v>0</v>
          </cell>
          <cell r="AE259">
            <v>0</v>
          </cell>
          <cell r="AH259">
            <v>0</v>
          </cell>
          <cell r="AI259">
            <v>0</v>
          </cell>
          <cell r="AL259">
            <v>0</v>
          </cell>
          <cell r="AM259">
            <v>0</v>
          </cell>
          <cell r="AP259">
            <v>7.9999999996505649</v>
          </cell>
          <cell r="AQ259">
            <v>21.999999999039055</v>
          </cell>
        </row>
        <row r="260">
          <cell r="V260">
            <v>0</v>
          </cell>
          <cell r="W260">
            <v>0</v>
          </cell>
          <cell r="Z260">
            <v>0</v>
          </cell>
          <cell r="AA260">
            <v>0</v>
          </cell>
          <cell r="AD260">
            <v>0</v>
          </cell>
          <cell r="AE260">
            <v>0</v>
          </cell>
          <cell r="AH260">
            <v>0</v>
          </cell>
          <cell r="AI260">
            <v>0</v>
          </cell>
          <cell r="AL260">
            <v>0</v>
          </cell>
          <cell r="AM260">
            <v>0</v>
          </cell>
          <cell r="AP260">
            <v>28.924410500153044</v>
          </cell>
          <cell r="AQ260">
            <v>61.838394862396164</v>
          </cell>
        </row>
        <row r="261">
          <cell r="V261">
            <v>0</v>
          </cell>
          <cell r="W261">
            <v>0</v>
          </cell>
          <cell r="Z261">
            <v>0</v>
          </cell>
          <cell r="AA261">
            <v>0</v>
          </cell>
          <cell r="AD261">
            <v>0</v>
          </cell>
          <cell r="AE261">
            <v>0</v>
          </cell>
          <cell r="AH261">
            <v>0</v>
          </cell>
          <cell r="AI261">
            <v>0</v>
          </cell>
          <cell r="AL261">
            <v>0</v>
          </cell>
          <cell r="AM261">
            <v>0</v>
          </cell>
          <cell r="AP261">
            <v>3.4070881861215567</v>
          </cell>
          <cell r="AQ261">
            <v>6.8141763722431135</v>
          </cell>
        </row>
        <row r="262">
          <cell r="V262">
            <v>0</v>
          </cell>
          <cell r="W262">
            <v>0</v>
          </cell>
          <cell r="Z262">
            <v>0</v>
          </cell>
          <cell r="AA262">
            <v>0</v>
          </cell>
          <cell r="AD262">
            <v>0</v>
          </cell>
          <cell r="AE262">
            <v>0</v>
          </cell>
          <cell r="AH262">
            <v>0</v>
          </cell>
          <cell r="AI262">
            <v>0</v>
          </cell>
          <cell r="AL262">
            <v>0</v>
          </cell>
          <cell r="AM262">
            <v>0</v>
          </cell>
          <cell r="AP262">
            <v>26.490292476826085</v>
          </cell>
          <cell r="AQ262">
            <v>75.546389656133641</v>
          </cell>
        </row>
        <row r="263">
          <cell r="V263">
            <v>0</v>
          </cell>
          <cell r="W263">
            <v>0</v>
          </cell>
          <cell r="Z263">
            <v>0</v>
          </cell>
          <cell r="AA263">
            <v>0</v>
          </cell>
          <cell r="AD263">
            <v>0</v>
          </cell>
          <cell r="AE263">
            <v>0</v>
          </cell>
          <cell r="AH263">
            <v>0</v>
          </cell>
          <cell r="AI263">
            <v>0</v>
          </cell>
          <cell r="AL263">
            <v>0</v>
          </cell>
          <cell r="AM263">
            <v>0</v>
          </cell>
          <cell r="AP263">
            <v>6.9265322699222747</v>
          </cell>
          <cell r="AQ263">
            <v>18.781558654981552</v>
          </cell>
        </row>
        <row r="264">
          <cell r="V264">
            <v>0</v>
          </cell>
          <cell r="W264">
            <v>0</v>
          </cell>
          <cell r="Z264">
            <v>0</v>
          </cell>
          <cell r="AA264">
            <v>0</v>
          </cell>
          <cell r="AD264">
            <v>0</v>
          </cell>
          <cell r="AE264">
            <v>0</v>
          </cell>
          <cell r="AH264">
            <v>0</v>
          </cell>
          <cell r="AI264">
            <v>0</v>
          </cell>
          <cell r="AL264">
            <v>0</v>
          </cell>
          <cell r="AM264">
            <v>0</v>
          </cell>
          <cell r="AP264">
            <v>3.2755186764954577E-2</v>
          </cell>
          <cell r="AQ264">
            <v>7.4972983039784918E-2</v>
          </cell>
        </row>
        <row r="265">
          <cell r="V265">
            <v>0</v>
          </cell>
          <cell r="W265">
            <v>0</v>
          </cell>
          <cell r="Z265">
            <v>0</v>
          </cell>
          <cell r="AA265">
            <v>0</v>
          </cell>
          <cell r="AD265">
            <v>0</v>
          </cell>
          <cell r="AE265">
            <v>0</v>
          </cell>
          <cell r="AH265">
            <v>0</v>
          </cell>
          <cell r="AI265">
            <v>0</v>
          </cell>
          <cell r="AL265">
            <v>0</v>
          </cell>
          <cell r="AM265">
            <v>0</v>
          </cell>
          <cell r="AP265">
            <v>11.277980978283281</v>
          </cell>
          <cell r="AQ265">
            <v>22.043326457553686</v>
          </cell>
        </row>
        <row r="266">
          <cell r="V266">
            <v>0</v>
          </cell>
          <cell r="W266">
            <v>0</v>
          </cell>
          <cell r="Z266">
            <v>0</v>
          </cell>
          <cell r="AA266">
            <v>0</v>
          </cell>
          <cell r="AD266">
            <v>0</v>
          </cell>
          <cell r="AE266">
            <v>0</v>
          </cell>
          <cell r="AH266">
            <v>0</v>
          </cell>
          <cell r="AI266">
            <v>0</v>
          </cell>
          <cell r="AL266">
            <v>0</v>
          </cell>
          <cell r="AM266">
            <v>0</v>
          </cell>
          <cell r="AP266">
            <v>0</v>
          </cell>
          <cell r="AQ266">
            <v>0</v>
          </cell>
        </row>
        <row r="267">
          <cell r="V267">
            <v>0</v>
          </cell>
          <cell r="W267">
            <v>0</v>
          </cell>
          <cell r="Z267">
            <v>0</v>
          </cell>
          <cell r="AA267">
            <v>0</v>
          </cell>
          <cell r="AD267">
            <v>0</v>
          </cell>
          <cell r="AE267">
            <v>0</v>
          </cell>
          <cell r="AH267">
            <v>0</v>
          </cell>
          <cell r="AI267">
            <v>0</v>
          </cell>
          <cell r="AL267">
            <v>0</v>
          </cell>
          <cell r="AM267">
            <v>0</v>
          </cell>
          <cell r="AP267">
            <v>0</v>
          </cell>
          <cell r="AQ267">
            <v>0</v>
          </cell>
        </row>
        <row r="268">
          <cell r="V268">
            <v>0</v>
          </cell>
          <cell r="W268">
            <v>0</v>
          </cell>
          <cell r="Z268">
            <v>0</v>
          </cell>
          <cell r="AA268">
            <v>0</v>
          </cell>
          <cell r="AD268">
            <v>0</v>
          </cell>
          <cell r="AE268">
            <v>0</v>
          </cell>
          <cell r="AH268">
            <v>0</v>
          </cell>
          <cell r="AI268">
            <v>0</v>
          </cell>
          <cell r="AL268">
            <v>0</v>
          </cell>
          <cell r="AM268">
            <v>0</v>
          </cell>
          <cell r="AP268">
            <v>0</v>
          </cell>
          <cell r="AQ268">
            <v>0</v>
          </cell>
        </row>
        <row r="269">
          <cell r="V269">
            <v>0</v>
          </cell>
          <cell r="W269">
            <v>0</v>
          </cell>
          <cell r="Z269">
            <v>0</v>
          </cell>
          <cell r="AA269">
            <v>0</v>
          </cell>
          <cell r="AD269">
            <v>0</v>
          </cell>
          <cell r="AE269">
            <v>0</v>
          </cell>
          <cell r="AH269">
            <v>0</v>
          </cell>
          <cell r="AI269">
            <v>0</v>
          </cell>
          <cell r="AL269">
            <v>0</v>
          </cell>
          <cell r="AM269">
            <v>0</v>
          </cell>
          <cell r="AP269">
            <v>0</v>
          </cell>
          <cell r="AQ269">
            <v>0</v>
          </cell>
        </row>
        <row r="270">
          <cell r="V270">
            <v>0</v>
          </cell>
          <cell r="W270">
            <v>0</v>
          </cell>
          <cell r="Z270">
            <v>0</v>
          </cell>
          <cell r="AA270">
            <v>0</v>
          </cell>
          <cell r="AD270">
            <v>0</v>
          </cell>
          <cell r="AE270">
            <v>0</v>
          </cell>
          <cell r="AH270">
            <v>0</v>
          </cell>
          <cell r="AI270">
            <v>0</v>
          </cell>
          <cell r="AL270">
            <v>0</v>
          </cell>
          <cell r="AM270">
            <v>0</v>
          </cell>
          <cell r="AP270">
            <v>0</v>
          </cell>
          <cell r="AQ270">
            <v>0</v>
          </cell>
        </row>
        <row r="271">
          <cell r="V271">
            <v>0</v>
          </cell>
          <cell r="W271">
            <v>0</v>
          </cell>
          <cell r="Z271">
            <v>0</v>
          </cell>
          <cell r="AA271">
            <v>0</v>
          </cell>
          <cell r="AD271">
            <v>0</v>
          </cell>
          <cell r="AE271">
            <v>0</v>
          </cell>
          <cell r="AH271">
            <v>0</v>
          </cell>
          <cell r="AI271">
            <v>0</v>
          </cell>
          <cell r="AL271">
            <v>0</v>
          </cell>
          <cell r="AM271">
            <v>0</v>
          </cell>
          <cell r="AP271">
            <v>0</v>
          </cell>
          <cell r="AQ271">
            <v>0</v>
          </cell>
        </row>
        <row r="272">
          <cell r="V272">
            <v>0</v>
          </cell>
          <cell r="W272">
            <v>0</v>
          </cell>
          <cell r="Z272">
            <v>0</v>
          </cell>
          <cell r="AA272">
            <v>0</v>
          </cell>
          <cell r="AD272">
            <v>0</v>
          </cell>
          <cell r="AE272">
            <v>0</v>
          </cell>
          <cell r="AH272">
            <v>0</v>
          </cell>
          <cell r="AI272">
            <v>0</v>
          </cell>
          <cell r="AL272">
            <v>0</v>
          </cell>
          <cell r="AM272">
            <v>0</v>
          </cell>
          <cell r="AP272">
            <v>0</v>
          </cell>
          <cell r="AQ272">
            <v>0</v>
          </cell>
        </row>
        <row r="273">
          <cell r="V273">
            <v>0</v>
          </cell>
          <cell r="W273">
            <v>0</v>
          </cell>
          <cell r="Z273">
            <v>0</v>
          </cell>
          <cell r="AA273">
            <v>0</v>
          </cell>
          <cell r="AD273">
            <v>0</v>
          </cell>
          <cell r="AE273">
            <v>0</v>
          </cell>
          <cell r="AH273">
            <v>0</v>
          </cell>
          <cell r="AI273">
            <v>0</v>
          </cell>
          <cell r="AL273">
            <v>0</v>
          </cell>
          <cell r="AM273">
            <v>0</v>
          </cell>
          <cell r="AP273">
            <v>0</v>
          </cell>
          <cell r="AQ273">
            <v>0</v>
          </cell>
        </row>
        <row r="274">
          <cell r="V274">
            <v>0</v>
          </cell>
          <cell r="W274">
            <v>2.0879517942355701E-2</v>
          </cell>
          <cell r="Z274">
            <v>0</v>
          </cell>
          <cell r="AA274">
            <v>8.1342789480426753E-2</v>
          </cell>
          <cell r="AD274">
            <v>0</v>
          </cell>
          <cell r="AE274">
            <v>0.29894678378940537</v>
          </cell>
          <cell r="AH274">
            <v>0</v>
          </cell>
          <cell r="AI274">
            <v>0.38928516861838375</v>
          </cell>
          <cell r="AL274">
            <v>0</v>
          </cell>
          <cell r="AM274">
            <v>0.52734231635123097</v>
          </cell>
          <cell r="AP274">
            <v>0</v>
          </cell>
          <cell r="AQ274">
            <v>0.67025866220204322</v>
          </cell>
        </row>
        <row r="275">
          <cell r="V275">
            <v>0</v>
          </cell>
          <cell r="W275">
            <v>0</v>
          </cell>
          <cell r="Z275">
            <v>0</v>
          </cell>
          <cell r="AA275">
            <v>0</v>
          </cell>
          <cell r="AD275">
            <v>0</v>
          </cell>
          <cell r="AE275">
            <v>0</v>
          </cell>
          <cell r="AH275">
            <v>0</v>
          </cell>
          <cell r="AI275">
            <v>0</v>
          </cell>
          <cell r="AL275">
            <v>0</v>
          </cell>
          <cell r="AM275">
            <v>0</v>
          </cell>
          <cell r="AP275">
            <v>0</v>
          </cell>
          <cell r="AQ275">
            <v>0</v>
          </cell>
        </row>
        <row r="276">
          <cell r="V276">
            <v>0</v>
          </cell>
          <cell r="W276">
            <v>0</v>
          </cell>
          <cell r="Z276">
            <v>0</v>
          </cell>
          <cell r="AA276">
            <v>0</v>
          </cell>
          <cell r="AD276">
            <v>0</v>
          </cell>
          <cell r="AE276">
            <v>0</v>
          </cell>
          <cell r="AH276">
            <v>0</v>
          </cell>
          <cell r="AI276">
            <v>0</v>
          </cell>
          <cell r="AL276">
            <v>0</v>
          </cell>
          <cell r="AM276">
            <v>0</v>
          </cell>
          <cell r="AP276">
            <v>0</v>
          </cell>
          <cell r="AQ276">
            <v>0</v>
          </cell>
        </row>
        <row r="277">
          <cell r="V277">
            <v>0</v>
          </cell>
          <cell r="W277">
            <v>0</v>
          </cell>
          <cell r="Z277">
            <v>0</v>
          </cell>
          <cell r="AA277">
            <v>0</v>
          </cell>
          <cell r="AD277">
            <v>0</v>
          </cell>
          <cell r="AE277">
            <v>0</v>
          </cell>
          <cell r="AH277">
            <v>0</v>
          </cell>
          <cell r="AI277">
            <v>0</v>
          </cell>
          <cell r="AL277">
            <v>0</v>
          </cell>
          <cell r="AM277">
            <v>0</v>
          </cell>
          <cell r="AP277">
            <v>0</v>
          </cell>
          <cell r="AQ277">
            <v>0</v>
          </cell>
        </row>
        <row r="278">
          <cell r="V278">
            <v>0</v>
          </cell>
          <cell r="W278">
            <v>0</v>
          </cell>
          <cell r="Z278">
            <v>0</v>
          </cell>
          <cell r="AA278">
            <v>0</v>
          </cell>
          <cell r="AD278">
            <v>0</v>
          </cell>
          <cell r="AE278">
            <v>0</v>
          </cell>
          <cell r="AH278">
            <v>0</v>
          </cell>
          <cell r="AI278">
            <v>0</v>
          </cell>
          <cell r="AL278">
            <v>0</v>
          </cell>
          <cell r="AM278">
            <v>0</v>
          </cell>
          <cell r="AP278">
            <v>0.99940548678467178</v>
          </cell>
          <cell r="AQ278">
            <v>2.8433789905704745</v>
          </cell>
        </row>
        <row r="279">
          <cell r="V279">
            <v>0</v>
          </cell>
          <cell r="W279">
            <v>0</v>
          </cell>
          <cell r="Z279">
            <v>0</v>
          </cell>
          <cell r="AA279">
            <v>0</v>
          </cell>
          <cell r="AD279">
            <v>0</v>
          </cell>
          <cell r="AE279">
            <v>0</v>
          </cell>
          <cell r="AH279">
            <v>0</v>
          </cell>
          <cell r="AI279">
            <v>0</v>
          </cell>
          <cell r="AL279">
            <v>0</v>
          </cell>
          <cell r="AM279">
            <v>0</v>
          </cell>
          <cell r="AP279">
            <v>0</v>
          </cell>
          <cell r="AQ279">
            <v>0</v>
          </cell>
        </row>
        <row r="280">
          <cell r="V280">
            <v>0</v>
          </cell>
          <cell r="W280">
            <v>0</v>
          </cell>
          <cell r="Z280">
            <v>0</v>
          </cell>
          <cell r="AA280">
            <v>0</v>
          </cell>
          <cell r="AD280">
            <v>0</v>
          </cell>
          <cell r="AE280">
            <v>0</v>
          </cell>
          <cell r="AH280">
            <v>0</v>
          </cell>
          <cell r="AI280">
            <v>0</v>
          </cell>
          <cell r="AL280">
            <v>0</v>
          </cell>
          <cell r="AM280">
            <v>0</v>
          </cell>
          <cell r="AP280">
            <v>0</v>
          </cell>
          <cell r="AQ280">
            <v>0</v>
          </cell>
        </row>
        <row r="281">
          <cell r="V281">
            <v>1.9521005076033621E-3</v>
          </cell>
          <cell r="W281">
            <v>5.3140513818091522E-3</v>
          </cell>
          <cell r="Z281">
            <v>5.9000995232636943E-3</v>
          </cell>
          <cell r="AA281">
            <v>1.6061382035551169E-2</v>
          </cell>
          <cell r="AD281">
            <v>1.2304248329689921E-2</v>
          </cell>
          <cell r="AE281">
            <v>3.3494898230822565E-2</v>
          </cell>
          <cell r="AH281">
            <v>3.0136940348448792E-2</v>
          </cell>
          <cell r="AI281">
            <v>8.2039448726332814E-2</v>
          </cell>
          <cell r="AL281">
            <v>5.0105298066940314E-2</v>
          </cell>
          <cell r="AM281">
            <v>0.13639775584889308</v>
          </cell>
          <cell r="AP281">
            <v>9.4934625105619896E-2</v>
          </cell>
          <cell r="AQ281">
            <v>0.25843314612085416</v>
          </cell>
        </row>
        <row r="282">
          <cell r="V282">
            <v>0.2781479151069407</v>
          </cell>
          <cell r="W282">
            <v>0.66264650363712352</v>
          </cell>
          <cell r="Z282">
            <v>0.3692436587481428</v>
          </cell>
          <cell r="AA282">
            <v>0.87966871642939892</v>
          </cell>
          <cell r="AD282">
            <v>0.43481371251632028</v>
          </cell>
          <cell r="AE282">
            <v>1.0358797268771158</v>
          </cell>
          <cell r="AH282">
            <v>0.59656260322732613</v>
          </cell>
          <cell r="AI282">
            <v>1.4212226723945121</v>
          </cell>
          <cell r="AL282">
            <v>0.79953695603648867</v>
          </cell>
          <cell r="AM282">
            <v>1.9047792187928114</v>
          </cell>
          <cell r="AP282">
            <v>1.0109025853623932</v>
          </cell>
          <cell r="AQ282">
            <v>2.4083267474809955</v>
          </cell>
        </row>
        <row r="283">
          <cell r="V283">
            <v>0</v>
          </cell>
          <cell r="W283">
            <v>0</v>
          </cell>
          <cell r="Z283">
            <v>4.9463696212833567E-4</v>
          </cell>
          <cell r="AA283">
            <v>1.3226162248214195E-3</v>
          </cell>
          <cell r="AD283">
            <v>4.1496090822014178E-3</v>
          </cell>
          <cell r="AE283">
            <v>1.1095693850234227E-2</v>
          </cell>
          <cell r="AH283">
            <v>2.2427468544523103E-2</v>
          </cell>
          <cell r="AI283">
            <v>5.996910067339873E-2</v>
          </cell>
          <cell r="AL283">
            <v>0.11740538469176333</v>
          </cell>
          <cell r="AM283">
            <v>0.31393178950188894</v>
          </cell>
          <cell r="AP283">
            <v>0.33286312715681604</v>
          </cell>
          <cell r="AQ283">
            <v>0.89004705739757328</v>
          </cell>
        </row>
        <row r="284">
          <cell r="V284">
            <v>0</v>
          </cell>
          <cell r="W284">
            <v>0</v>
          </cell>
          <cell r="Z284">
            <v>0</v>
          </cell>
          <cell r="AA284">
            <v>0</v>
          </cell>
          <cell r="AD284">
            <v>0</v>
          </cell>
          <cell r="AE284">
            <v>0</v>
          </cell>
          <cell r="AH284">
            <v>0</v>
          </cell>
          <cell r="AI284">
            <v>0</v>
          </cell>
          <cell r="AL284">
            <v>0</v>
          </cell>
          <cell r="AM284">
            <v>0</v>
          </cell>
          <cell r="AP284">
            <v>0</v>
          </cell>
          <cell r="AQ284">
            <v>0</v>
          </cell>
        </row>
        <row r="285">
          <cell r="V285">
            <v>0</v>
          </cell>
          <cell r="W285">
            <v>0</v>
          </cell>
          <cell r="Z285">
            <v>0</v>
          </cell>
          <cell r="AA285">
            <v>0</v>
          </cell>
          <cell r="AD285">
            <v>0</v>
          </cell>
          <cell r="AE285">
            <v>0</v>
          </cell>
          <cell r="AH285">
            <v>0</v>
          </cell>
          <cell r="AI285">
            <v>0</v>
          </cell>
          <cell r="AL285">
            <v>0</v>
          </cell>
          <cell r="AM285">
            <v>0</v>
          </cell>
          <cell r="AP285">
            <v>0</v>
          </cell>
          <cell r="AQ285">
            <v>0</v>
          </cell>
        </row>
        <row r="286">
          <cell r="V286">
            <v>0.21940591814167143</v>
          </cell>
          <cell r="W286">
            <v>0.60575112182591895</v>
          </cell>
          <cell r="Z286">
            <v>0.28098044939588174</v>
          </cell>
          <cell r="AA286">
            <v>0.77575037115819523</v>
          </cell>
          <cell r="AD286">
            <v>0.3231268208536357</v>
          </cell>
          <cell r="AE286">
            <v>0.89211100540025512</v>
          </cell>
          <cell r="AH286">
            <v>0.38984475796771934</v>
          </cell>
          <cell r="AI286">
            <v>1.0763105274326163</v>
          </cell>
          <cell r="AL286">
            <v>5.0633892339632043</v>
          </cell>
          <cell r="AM286">
            <v>13.979357232898412</v>
          </cell>
          <cell r="AP286">
            <v>8.639695217538776</v>
          </cell>
          <cell r="AQ286">
            <v>23.853071578857055</v>
          </cell>
        </row>
        <row r="287">
          <cell r="V287">
            <v>0.41903859139457428</v>
          </cell>
          <cell r="W287">
            <v>1.1373904623567015</v>
          </cell>
          <cell r="Z287">
            <v>0.53832318665784784</v>
          </cell>
          <cell r="AA287">
            <v>1.4611629352141584</v>
          </cell>
          <cell r="AD287">
            <v>0.71592693097483917</v>
          </cell>
          <cell r="AE287">
            <v>1.9432302412174205</v>
          </cell>
          <cell r="AH287">
            <v>1.5596315771367635</v>
          </cell>
          <cell r="AI287">
            <v>4.2332857093712146</v>
          </cell>
          <cell r="AL287">
            <v>4.3943495950575828</v>
          </cell>
          <cell r="AM287">
            <v>11.927520329442011</v>
          </cell>
          <cell r="AP287">
            <v>6.6900512811784445</v>
          </cell>
          <cell r="AQ287">
            <v>18.158710620341495</v>
          </cell>
        </row>
        <row r="288">
          <cell r="V288">
            <v>0</v>
          </cell>
          <cell r="W288">
            <v>0</v>
          </cell>
          <cell r="Z288">
            <v>0</v>
          </cell>
          <cell r="AA288">
            <v>0</v>
          </cell>
          <cell r="AD288">
            <v>0</v>
          </cell>
          <cell r="AE288">
            <v>0</v>
          </cell>
          <cell r="AH288">
            <v>0</v>
          </cell>
          <cell r="AI288">
            <v>0</v>
          </cell>
          <cell r="AL288">
            <v>1.379308069685631</v>
          </cell>
          <cell r="AM288">
            <v>3.3265665210065216</v>
          </cell>
          <cell r="AP288">
            <v>4.4144497808660939</v>
          </cell>
          <cell r="AQ288">
            <v>10.646614177382931</v>
          </cell>
        </row>
        <row r="289">
          <cell r="V289">
            <v>0</v>
          </cell>
          <cell r="W289">
            <v>0</v>
          </cell>
          <cell r="Z289">
            <v>0</v>
          </cell>
          <cell r="AA289">
            <v>0</v>
          </cell>
          <cell r="AD289">
            <v>0</v>
          </cell>
          <cell r="AE289">
            <v>0</v>
          </cell>
          <cell r="AH289">
            <v>0</v>
          </cell>
          <cell r="AI289">
            <v>0</v>
          </cell>
          <cell r="AL289">
            <v>2.2266489571950205</v>
          </cell>
          <cell r="AM289">
            <v>6.851227560600063</v>
          </cell>
          <cell r="AP289">
            <v>6.28242665521294</v>
          </cell>
          <cell r="AQ289">
            <v>19.330543554501354</v>
          </cell>
        </row>
        <row r="290">
          <cell r="V290">
            <v>0.26754318989232218</v>
          </cell>
          <cell r="W290">
            <v>0.7654707933030328</v>
          </cell>
          <cell r="Z290">
            <v>0.38647752642786626</v>
          </cell>
          <cell r="AA290">
            <v>1.1057551450575063</v>
          </cell>
          <cell r="AD290">
            <v>0.40491278526996149</v>
          </cell>
          <cell r="AE290">
            <v>1.1585004689668343</v>
          </cell>
          <cell r="AH290">
            <v>0.43148150426426818</v>
          </cell>
          <cell r="AI290">
            <v>1.234516526089434</v>
          </cell>
          <cell r="AL290">
            <v>0.44474429156690176</v>
          </cell>
          <cell r="AM290">
            <v>1.2724628342053022</v>
          </cell>
          <cell r="AP290">
            <v>0.62192897010341186</v>
          </cell>
          <cell r="AQ290">
            <v>1.7794078866847618</v>
          </cell>
        </row>
        <row r="291">
          <cell r="V291">
            <v>1.8704788063339844E-2</v>
          </cell>
          <cell r="W291">
            <v>5.4522467333565076E-2</v>
          </cell>
          <cell r="Z291">
            <v>1.8704788063339844E-2</v>
          </cell>
          <cell r="AA291">
            <v>5.4522467333565076E-2</v>
          </cell>
          <cell r="AD291">
            <v>1.8704788063339844E-2</v>
          </cell>
          <cell r="AE291">
            <v>5.4522467333565076E-2</v>
          </cell>
          <cell r="AH291">
            <v>1.8704788063339844E-2</v>
          </cell>
          <cell r="AI291">
            <v>5.4522467333565076E-2</v>
          </cell>
          <cell r="AL291">
            <v>6.6064095575751866E-2</v>
          </cell>
          <cell r="AM291">
            <v>0.19256981050804267</v>
          </cell>
          <cell r="AP291">
            <v>8.7457660921596597E-2</v>
          </cell>
          <cell r="AQ291">
            <v>0.25492977757997304</v>
          </cell>
        </row>
        <row r="292">
          <cell r="V292">
            <v>0</v>
          </cell>
          <cell r="W292">
            <v>0</v>
          </cell>
          <cell r="Z292">
            <v>0</v>
          </cell>
          <cell r="AA292">
            <v>0</v>
          </cell>
          <cell r="AD292">
            <v>0</v>
          </cell>
          <cell r="AE292">
            <v>0</v>
          </cell>
          <cell r="AH292">
            <v>0</v>
          </cell>
          <cell r="AI292">
            <v>0</v>
          </cell>
          <cell r="AL292">
            <v>0</v>
          </cell>
          <cell r="AM292">
            <v>0</v>
          </cell>
          <cell r="AP292">
            <v>0</v>
          </cell>
          <cell r="AQ292">
            <v>0</v>
          </cell>
        </row>
        <row r="293">
          <cell r="V293">
            <v>0</v>
          </cell>
          <cell r="W293">
            <v>0</v>
          </cell>
          <cell r="Z293">
            <v>0</v>
          </cell>
          <cell r="AA293">
            <v>0</v>
          </cell>
          <cell r="AD293">
            <v>0</v>
          </cell>
          <cell r="AE293">
            <v>0</v>
          </cell>
          <cell r="AH293">
            <v>0</v>
          </cell>
          <cell r="AI293">
            <v>0</v>
          </cell>
          <cell r="AL293">
            <v>0.48050504464522009</v>
          </cell>
          <cell r="AM293">
            <v>1.2231037500060147</v>
          </cell>
          <cell r="AP293">
            <v>1.6460428374631024</v>
          </cell>
          <cell r="AQ293">
            <v>4.1899272226333517</v>
          </cell>
        </row>
        <row r="294">
          <cell r="V294">
            <v>0</v>
          </cell>
          <cell r="W294">
            <v>0</v>
          </cell>
          <cell r="Z294">
            <v>0</v>
          </cell>
          <cell r="AA294">
            <v>0</v>
          </cell>
          <cell r="AD294">
            <v>5.0168142745943226E-3</v>
          </cell>
          <cell r="AE294">
            <v>5.0168142745943226E-3</v>
          </cell>
          <cell r="AH294">
            <v>6.6896935572834632E-2</v>
          </cell>
          <cell r="AI294">
            <v>6.6896935572834632E-2</v>
          </cell>
          <cell r="AL294">
            <v>0.16381752958293777</v>
          </cell>
          <cell r="AM294">
            <v>0.16381752958293777</v>
          </cell>
          <cell r="AP294">
            <v>0.22320390941328386</v>
          </cell>
          <cell r="AQ294">
            <v>0.22320390941328386</v>
          </cell>
        </row>
        <row r="295">
          <cell r="V295">
            <v>0</v>
          </cell>
          <cell r="W295">
            <v>0</v>
          </cell>
          <cell r="Z295">
            <v>0</v>
          </cell>
          <cell r="AA295">
            <v>0</v>
          </cell>
          <cell r="AD295">
            <v>0</v>
          </cell>
          <cell r="AE295">
            <v>0</v>
          </cell>
          <cell r="AH295">
            <v>0</v>
          </cell>
          <cell r="AI295">
            <v>0</v>
          </cell>
          <cell r="AL295">
            <v>0</v>
          </cell>
          <cell r="AM295">
            <v>0</v>
          </cell>
          <cell r="AP295">
            <v>0</v>
          </cell>
          <cell r="AQ295">
            <v>0</v>
          </cell>
        </row>
        <row r="296">
          <cell r="V296">
            <v>0</v>
          </cell>
          <cell r="W296">
            <v>0</v>
          </cell>
          <cell r="Z296">
            <v>0</v>
          </cell>
          <cell r="AA296">
            <v>0</v>
          </cell>
          <cell r="AD296">
            <v>0</v>
          </cell>
          <cell r="AE296">
            <v>0</v>
          </cell>
          <cell r="AH296">
            <v>0</v>
          </cell>
          <cell r="AI296">
            <v>0</v>
          </cell>
          <cell r="AL296">
            <v>0</v>
          </cell>
          <cell r="AM296">
            <v>0</v>
          </cell>
          <cell r="AP296">
            <v>0</v>
          </cell>
          <cell r="AQ296">
            <v>0</v>
          </cell>
        </row>
        <row r="297">
          <cell r="V297">
            <v>0</v>
          </cell>
          <cell r="W297">
            <v>0</v>
          </cell>
          <cell r="Z297">
            <v>0</v>
          </cell>
          <cell r="AA297">
            <v>0</v>
          </cell>
          <cell r="AD297">
            <v>0</v>
          </cell>
          <cell r="AE297">
            <v>0</v>
          </cell>
          <cell r="AH297">
            <v>0</v>
          </cell>
          <cell r="AI297">
            <v>0</v>
          </cell>
          <cell r="AL297">
            <v>0</v>
          </cell>
          <cell r="AM297">
            <v>0</v>
          </cell>
          <cell r="AP297">
            <v>0</v>
          </cell>
          <cell r="AQ297">
            <v>0</v>
          </cell>
        </row>
        <row r="298">
          <cell r="V298">
            <v>0</v>
          </cell>
          <cell r="W298">
            <v>0</v>
          </cell>
          <cell r="Z298">
            <v>0</v>
          </cell>
          <cell r="AA298">
            <v>0</v>
          </cell>
          <cell r="AD298">
            <v>0</v>
          </cell>
          <cell r="AE298">
            <v>0</v>
          </cell>
          <cell r="AH298">
            <v>0</v>
          </cell>
          <cell r="AI298">
            <v>0</v>
          </cell>
          <cell r="AL298">
            <v>0</v>
          </cell>
          <cell r="AM298">
            <v>0</v>
          </cell>
          <cell r="AP298">
            <v>0</v>
          </cell>
          <cell r="AQ298">
            <v>0</v>
          </cell>
        </row>
        <row r="299">
          <cell r="V299">
            <v>0</v>
          </cell>
          <cell r="W299">
            <v>0</v>
          </cell>
          <cell r="Z299">
            <v>0</v>
          </cell>
          <cell r="AA299">
            <v>0</v>
          </cell>
          <cell r="AD299">
            <v>0</v>
          </cell>
          <cell r="AE299">
            <v>0</v>
          </cell>
          <cell r="AH299">
            <v>0</v>
          </cell>
          <cell r="AI299">
            <v>0</v>
          </cell>
          <cell r="AL299">
            <v>0</v>
          </cell>
          <cell r="AM299">
            <v>0</v>
          </cell>
          <cell r="AP299">
            <v>0</v>
          </cell>
          <cell r="AQ299">
            <v>0</v>
          </cell>
        </row>
        <row r="300">
          <cell r="V300">
            <v>0</v>
          </cell>
          <cell r="W300">
            <v>0</v>
          </cell>
          <cell r="Z300">
            <v>0</v>
          </cell>
          <cell r="AA300">
            <v>0</v>
          </cell>
          <cell r="AD300">
            <v>0</v>
          </cell>
          <cell r="AE300">
            <v>0</v>
          </cell>
          <cell r="AH300">
            <v>0</v>
          </cell>
          <cell r="AI300">
            <v>0</v>
          </cell>
          <cell r="AL300">
            <v>0</v>
          </cell>
          <cell r="AM300">
            <v>0</v>
          </cell>
          <cell r="AP300">
            <v>0</v>
          </cell>
          <cell r="AQ300">
            <v>0</v>
          </cell>
        </row>
        <row r="301">
          <cell r="V301">
            <v>0</v>
          </cell>
          <cell r="W301">
            <v>0</v>
          </cell>
          <cell r="Z301">
            <v>0</v>
          </cell>
          <cell r="AA301">
            <v>0</v>
          </cell>
          <cell r="AD301">
            <v>0</v>
          </cell>
          <cell r="AE301">
            <v>0</v>
          </cell>
          <cell r="AH301">
            <v>0</v>
          </cell>
          <cell r="AI301">
            <v>0</v>
          </cell>
          <cell r="AL301">
            <v>0</v>
          </cell>
          <cell r="AM301">
            <v>0</v>
          </cell>
          <cell r="AP301">
            <v>0</v>
          </cell>
          <cell r="AQ301">
            <v>0</v>
          </cell>
        </row>
        <row r="302">
          <cell r="V302">
            <v>0</v>
          </cell>
          <cell r="W302">
            <v>0</v>
          </cell>
          <cell r="Z302">
            <v>0</v>
          </cell>
          <cell r="AA302">
            <v>0</v>
          </cell>
          <cell r="AD302">
            <v>0</v>
          </cell>
          <cell r="AE302">
            <v>0</v>
          </cell>
          <cell r="AH302">
            <v>0</v>
          </cell>
          <cell r="AI302">
            <v>0</v>
          </cell>
          <cell r="AL302">
            <v>2.1657837467543612</v>
          </cell>
          <cell r="AM302">
            <v>6.1363872824706895</v>
          </cell>
          <cell r="AP302">
            <v>4.9347510205890215</v>
          </cell>
          <cell r="AQ302">
            <v>13.981794558335562</v>
          </cell>
        </row>
        <row r="303">
          <cell r="V303">
            <v>0</v>
          </cell>
          <cell r="W303">
            <v>0</v>
          </cell>
          <cell r="Z303">
            <v>0</v>
          </cell>
          <cell r="AA303">
            <v>0</v>
          </cell>
          <cell r="AD303">
            <v>0</v>
          </cell>
          <cell r="AE303">
            <v>0</v>
          </cell>
          <cell r="AH303">
            <v>0</v>
          </cell>
          <cell r="AI303">
            <v>0</v>
          </cell>
          <cell r="AL303">
            <v>0.14994866904079235</v>
          </cell>
          <cell r="AM303">
            <v>0.48733317438257512</v>
          </cell>
          <cell r="AP303">
            <v>0.17759163249371121</v>
          </cell>
          <cell r="AQ303">
            <v>0.57717280560456141</v>
          </cell>
        </row>
        <row r="304">
          <cell r="V304">
            <v>2.1749747881347892</v>
          </cell>
          <cell r="W304">
            <v>5.1064625460555924</v>
          </cell>
          <cell r="Z304">
            <v>2.8135691442083846</v>
          </cell>
          <cell r="AA304">
            <v>6.6057710342283817</v>
          </cell>
          <cell r="AD304">
            <v>3.7334829480136271</v>
          </cell>
          <cell r="AE304">
            <v>8.7655686605537326</v>
          </cell>
          <cell r="AH304">
            <v>19.431377069658186</v>
          </cell>
          <cell r="AI304">
            <v>45.621493989632263</v>
          </cell>
          <cell r="AL304">
            <v>26.634075165456181</v>
          </cell>
          <cell r="AM304">
            <v>62.532176475418858</v>
          </cell>
          <cell r="AP304">
            <v>36.772410835512304</v>
          </cell>
          <cell r="AQ304">
            <v>86.335225439898466</v>
          </cell>
        </row>
        <row r="305">
          <cell r="V305">
            <v>0</v>
          </cell>
          <cell r="W305">
            <v>0</v>
          </cell>
          <cell r="Z305">
            <v>0</v>
          </cell>
          <cell r="AA305">
            <v>0</v>
          </cell>
          <cell r="AD305">
            <v>0</v>
          </cell>
          <cell r="AE305">
            <v>0</v>
          </cell>
          <cell r="AH305">
            <v>0</v>
          </cell>
          <cell r="AI305">
            <v>0</v>
          </cell>
          <cell r="AL305">
            <v>0.42089126499884338</v>
          </cell>
          <cell r="AM305">
            <v>1.2626737949965301</v>
          </cell>
          <cell r="AP305">
            <v>0.76335377948737826</v>
          </cell>
          <cell r="AQ305">
            <v>2.2900613384621349</v>
          </cell>
        </row>
        <row r="306">
          <cell r="V306">
            <v>0</v>
          </cell>
          <cell r="W306">
            <v>0</v>
          </cell>
          <cell r="Z306">
            <v>0</v>
          </cell>
          <cell r="AA306">
            <v>0</v>
          </cell>
          <cell r="AD306">
            <v>0</v>
          </cell>
          <cell r="AE306">
            <v>0</v>
          </cell>
          <cell r="AH306">
            <v>0</v>
          </cell>
          <cell r="AI306">
            <v>0</v>
          </cell>
          <cell r="AL306">
            <v>0</v>
          </cell>
          <cell r="AM306">
            <v>0</v>
          </cell>
          <cell r="AP306">
            <v>2.6452421151521115</v>
          </cell>
          <cell r="AQ306">
            <v>6.7687077652421683</v>
          </cell>
        </row>
        <row r="307">
          <cell r="V307">
            <v>0</v>
          </cell>
          <cell r="W307">
            <v>0</v>
          </cell>
          <cell r="Z307">
            <v>0</v>
          </cell>
          <cell r="AA307">
            <v>0</v>
          </cell>
          <cell r="AD307">
            <v>0</v>
          </cell>
          <cell r="AE307">
            <v>0</v>
          </cell>
          <cell r="AH307">
            <v>0</v>
          </cell>
          <cell r="AI307">
            <v>0</v>
          </cell>
          <cell r="AL307">
            <v>0</v>
          </cell>
          <cell r="AM307">
            <v>0</v>
          </cell>
          <cell r="AP307">
            <v>0.58273257534361389</v>
          </cell>
          <cell r="AQ307">
            <v>2.1755349479494916</v>
          </cell>
        </row>
        <row r="308">
          <cell r="V308">
            <v>0</v>
          </cell>
          <cell r="W308">
            <v>0</v>
          </cell>
          <cell r="Z308">
            <v>0</v>
          </cell>
          <cell r="AA308">
            <v>0</v>
          </cell>
          <cell r="AD308">
            <v>0</v>
          </cell>
          <cell r="AE308">
            <v>0</v>
          </cell>
          <cell r="AH308">
            <v>0</v>
          </cell>
          <cell r="AI308">
            <v>0</v>
          </cell>
          <cell r="AL308">
            <v>0</v>
          </cell>
          <cell r="AM308">
            <v>0</v>
          </cell>
          <cell r="AP308">
            <v>1.2191728197878957</v>
          </cell>
          <cell r="AQ308">
            <v>3.1069242826852825</v>
          </cell>
        </row>
        <row r="309">
          <cell r="V309">
            <v>0</v>
          </cell>
          <cell r="W309">
            <v>0</v>
          </cell>
          <cell r="Z309">
            <v>0</v>
          </cell>
          <cell r="AA309">
            <v>0</v>
          </cell>
          <cell r="AD309">
            <v>0</v>
          </cell>
          <cell r="AE309">
            <v>0</v>
          </cell>
          <cell r="AH309">
            <v>0</v>
          </cell>
          <cell r="AI309">
            <v>0</v>
          </cell>
          <cell r="AL309">
            <v>0</v>
          </cell>
          <cell r="AM309">
            <v>0</v>
          </cell>
          <cell r="AP309">
            <v>1.2527860800598434</v>
          </cell>
          <cell r="AQ309">
            <v>3.9311563201877844</v>
          </cell>
        </row>
        <row r="310">
          <cell r="V310">
            <v>0</v>
          </cell>
          <cell r="W310">
            <v>0</v>
          </cell>
          <cell r="Z310">
            <v>0.14874504493025711</v>
          </cell>
          <cell r="AA310">
            <v>0.43660416065859642</v>
          </cell>
          <cell r="AD310">
            <v>2.5250259649815625</v>
          </cell>
          <cell r="AE310">
            <v>7.4115870051257371</v>
          </cell>
          <cell r="AH310">
            <v>8.6326245109915636</v>
          </cell>
          <cell r="AI310">
            <v>25.338926622191067</v>
          </cell>
          <cell r="AL310">
            <v>38.253977817391039</v>
          </cell>
          <cell r="AM310">
            <v>112.28505719061543</v>
          </cell>
          <cell r="AP310">
            <v>55.888521274613339</v>
          </cell>
          <cell r="AQ310">
            <v>164.04688259023195</v>
          </cell>
        </row>
        <row r="311">
          <cell r="V311">
            <v>0</v>
          </cell>
          <cell r="W311">
            <v>0</v>
          </cell>
          <cell r="Z311">
            <v>0</v>
          </cell>
          <cell r="AA311">
            <v>0</v>
          </cell>
          <cell r="AD311">
            <v>0</v>
          </cell>
          <cell r="AE311">
            <v>0</v>
          </cell>
          <cell r="AH311">
            <v>0</v>
          </cell>
          <cell r="AI311">
            <v>0</v>
          </cell>
          <cell r="AL311">
            <v>0</v>
          </cell>
          <cell r="AM311">
            <v>0</v>
          </cell>
          <cell r="AP311">
            <v>0</v>
          </cell>
          <cell r="AQ311">
            <v>0</v>
          </cell>
        </row>
        <row r="312">
          <cell r="V312">
            <v>0</v>
          </cell>
          <cell r="W312">
            <v>0</v>
          </cell>
          <cell r="Z312">
            <v>0</v>
          </cell>
          <cell r="AA312">
            <v>0</v>
          </cell>
          <cell r="AD312">
            <v>0</v>
          </cell>
          <cell r="AE312">
            <v>0</v>
          </cell>
          <cell r="AH312">
            <v>0</v>
          </cell>
          <cell r="AI312">
            <v>0</v>
          </cell>
          <cell r="AL312">
            <v>0</v>
          </cell>
          <cell r="AM312">
            <v>0</v>
          </cell>
          <cell r="AP312">
            <v>0</v>
          </cell>
          <cell r="AQ312">
            <v>0</v>
          </cell>
        </row>
        <row r="313">
          <cell r="V313">
            <v>0</v>
          </cell>
          <cell r="W313">
            <v>0</v>
          </cell>
          <cell r="Z313">
            <v>0</v>
          </cell>
          <cell r="AA313">
            <v>0</v>
          </cell>
          <cell r="AD313">
            <v>0</v>
          </cell>
          <cell r="AE313">
            <v>0</v>
          </cell>
          <cell r="AH313">
            <v>0</v>
          </cell>
          <cell r="AI313">
            <v>0</v>
          </cell>
          <cell r="AL313">
            <v>0</v>
          </cell>
          <cell r="AM313">
            <v>0</v>
          </cell>
          <cell r="AP313">
            <v>0</v>
          </cell>
          <cell r="AQ313">
            <v>0</v>
          </cell>
        </row>
        <row r="314">
          <cell r="V314">
            <v>0</v>
          </cell>
          <cell r="W314">
            <v>0</v>
          </cell>
          <cell r="Z314">
            <v>1.8918525720787029E-2</v>
          </cell>
          <cell r="AA314">
            <v>1.8918525720787029E-2</v>
          </cell>
          <cell r="AD314">
            <v>2.4463358743374929E-2</v>
          </cell>
          <cell r="AE314">
            <v>2.4463358743374929E-2</v>
          </cell>
          <cell r="AH314">
            <v>3.4631390621276084E-2</v>
          </cell>
          <cell r="AI314">
            <v>3.4631390621276084E-2</v>
          </cell>
          <cell r="AL314">
            <v>5.2579234245313126E-2</v>
          </cell>
          <cell r="AM314">
            <v>5.2579234245313126E-2</v>
          </cell>
          <cell r="AP314">
            <v>8.6632215280373973E-2</v>
          </cell>
          <cell r="AQ314">
            <v>8.6632215280373973E-2</v>
          </cell>
        </row>
        <row r="315">
          <cell r="V315">
            <v>0</v>
          </cell>
          <cell r="W315">
            <v>0</v>
          </cell>
          <cell r="Z315">
            <v>0</v>
          </cell>
          <cell r="AA315">
            <v>0</v>
          </cell>
          <cell r="AD315">
            <v>0</v>
          </cell>
          <cell r="AE315">
            <v>0</v>
          </cell>
          <cell r="AH315">
            <v>0</v>
          </cell>
          <cell r="AI315">
            <v>0</v>
          </cell>
          <cell r="AL315">
            <v>0</v>
          </cell>
          <cell r="AM315">
            <v>0</v>
          </cell>
          <cell r="AP315">
            <v>0</v>
          </cell>
          <cell r="AQ315">
            <v>0</v>
          </cell>
        </row>
        <row r="316">
          <cell r="V316">
            <v>0</v>
          </cell>
          <cell r="W316">
            <v>0</v>
          </cell>
          <cell r="Z316">
            <v>0</v>
          </cell>
          <cell r="AA316">
            <v>0</v>
          </cell>
          <cell r="AD316">
            <v>0</v>
          </cell>
          <cell r="AE316">
            <v>0</v>
          </cell>
          <cell r="AH316">
            <v>0</v>
          </cell>
          <cell r="AI316">
            <v>0</v>
          </cell>
          <cell r="AL316">
            <v>0</v>
          </cell>
          <cell r="AM316">
            <v>0</v>
          </cell>
          <cell r="AP316">
            <v>0</v>
          </cell>
          <cell r="AQ316">
            <v>0</v>
          </cell>
        </row>
        <row r="317">
          <cell r="V317">
            <v>0</v>
          </cell>
          <cell r="W317">
            <v>0</v>
          </cell>
          <cell r="Z317">
            <v>0</v>
          </cell>
          <cell r="AA317">
            <v>0</v>
          </cell>
          <cell r="AD317">
            <v>0</v>
          </cell>
          <cell r="AE317">
            <v>0</v>
          </cell>
          <cell r="AH317">
            <v>0</v>
          </cell>
          <cell r="AI317">
            <v>0</v>
          </cell>
          <cell r="AL317">
            <v>0</v>
          </cell>
          <cell r="AM317">
            <v>0</v>
          </cell>
          <cell r="AP317">
            <v>0</v>
          </cell>
          <cell r="AQ317">
            <v>0</v>
          </cell>
        </row>
        <row r="318">
          <cell r="V318">
            <v>0</v>
          </cell>
          <cell r="W318">
            <v>0</v>
          </cell>
          <cell r="Z318">
            <v>0</v>
          </cell>
          <cell r="AA318">
            <v>0</v>
          </cell>
          <cell r="AD318">
            <v>0</v>
          </cell>
          <cell r="AE318">
            <v>0</v>
          </cell>
          <cell r="AH318">
            <v>0</v>
          </cell>
          <cell r="AI318">
            <v>0</v>
          </cell>
          <cell r="AL318">
            <v>0</v>
          </cell>
          <cell r="AM318">
            <v>0</v>
          </cell>
          <cell r="AP318">
            <v>0</v>
          </cell>
          <cell r="AQ318">
            <v>0</v>
          </cell>
        </row>
        <row r="319">
          <cell r="V319">
            <v>0</v>
          </cell>
          <cell r="W319">
            <v>0</v>
          </cell>
          <cell r="Z319">
            <v>0</v>
          </cell>
          <cell r="AA319">
            <v>0</v>
          </cell>
          <cell r="AD319">
            <v>0</v>
          </cell>
          <cell r="AE319">
            <v>0</v>
          </cell>
          <cell r="AH319">
            <v>0</v>
          </cell>
          <cell r="AI319">
            <v>0</v>
          </cell>
          <cell r="AL319">
            <v>0</v>
          </cell>
          <cell r="AM319">
            <v>0</v>
          </cell>
          <cell r="AP319">
            <v>0</v>
          </cell>
          <cell r="AQ319">
            <v>0</v>
          </cell>
        </row>
        <row r="320">
          <cell r="V320">
            <v>0</v>
          </cell>
          <cell r="W320">
            <v>0</v>
          </cell>
          <cell r="Z320">
            <v>0</v>
          </cell>
          <cell r="AA320">
            <v>0</v>
          </cell>
          <cell r="AD320">
            <v>0</v>
          </cell>
          <cell r="AE320">
            <v>0</v>
          </cell>
          <cell r="AH320">
            <v>0</v>
          </cell>
          <cell r="AI320">
            <v>0</v>
          </cell>
          <cell r="AL320">
            <v>0</v>
          </cell>
          <cell r="AM320">
            <v>0</v>
          </cell>
          <cell r="AP320">
            <v>0</v>
          </cell>
          <cell r="AQ320">
            <v>0</v>
          </cell>
        </row>
        <row r="321">
          <cell r="V321">
            <v>0</v>
          </cell>
          <cell r="W321">
            <v>0</v>
          </cell>
          <cell r="Z321">
            <v>0</v>
          </cell>
          <cell r="AA321">
            <v>0</v>
          </cell>
          <cell r="AD321">
            <v>0</v>
          </cell>
          <cell r="AE321">
            <v>0</v>
          </cell>
          <cell r="AH321">
            <v>0</v>
          </cell>
          <cell r="AI321">
            <v>0</v>
          </cell>
          <cell r="AL321">
            <v>0</v>
          </cell>
          <cell r="AM321">
            <v>0</v>
          </cell>
          <cell r="AP321">
            <v>0</v>
          </cell>
          <cell r="AQ321">
            <v>0</v>
          </cell>
        </row>
        <row r="322">
          <cell r="V322">
            <v>0</v>
          </cell>
          <cell r="W322">
            <v>0</v>
          </cell>
          <cell r="Z322">
            <v>0</v>
          </cell>
          <cell r="AA322">
            <v>0</v>
          </cell>
          <cell r="AD322">
            <v>0</v>
          </cell>
          <cell r="AE322">
            <v>0</v>
          </cell>
          <cell r="AH322">
            <v>0</v>
          </cell>
          <cell r="AI322">
            <v>0</v>
          </cell>
          <cell r="AL322">
            <v>0</v>
          </cell>
          <cell r="AM322">
            <v>0</v>
          </cell>
          <cell r="AP322">
            <v>0</v>
          </cell>
          <cell r="AQ322">
            <v>0</v>
          </cell>
        </row>
        <row r="323">
          <cell r="V323">
            <v>0</v>
          </cell>
          <cell r="W323">
            <v>0</v>
          </cell>
          <cell r="Z323">
            <v>0</v>
          </cell>
          <cell r="AA323">
            <v>0</v>
          </cell>
          <cell r="AD323">
            <v>0</v>
          </cell>
          <cell r="AE323">
            <v>0</v>
          </cell>
          <cell r="AH323">
            <v>0</v>
          </cell>
          <cell r="AI323">
            <v>0</v>
          </cell>
          <cell r="AL323">
            <v>0</v>
          </cell>
          <cell r="AM323">
            <v>0</v>
          </cell>
          <cell r="AP323">
            <v>0</v>
          </cell>
          <cell r="AQ323">
            <v>0</v>
          </cell>
        </row>
        <row r="324">
          <cell r="V324">
            <v>0</v>
          </cell>
          <cell r="W324">
            <v>0</v>
          </cell>
          <cell r="Z324">
            <v>0</v>
          </cell>
          <cell r="AA324">
            <v>0</v>
          </cell>
          <cell r="AD324">
            <v>0</v>
          </cell>
          <cell r="AE324">
            <v>0</v>
          </cell>
          <cell r="AH324">
            <v>0</v>
          </cell>
          <cell r="AI324">
            <v>0</v>
          </cell>
          <cell r="AL324">
            <v>0</v>
          </cell>
          <cell r="AM324">
            <v>0</v>
          </cell>
          <cell r="AP324">
            <v>0</v>
          </cell>
          <cell r="AQ324">
            <v>0</v>
          </cell>
        </row>
        <row r="325">
          <cell r="V325">
            <v>0</v>
          </cell>
          <cell r="W325">
            <v>0</v>
          </cell>
          <cell r="Z325">
            <v>9.6676903903462098E-3</v>
          </cell>
          <cell r="AA325">
            <v>1.6112817317243681E-2</v>
          </cell>
          <cell r="AD325">
            <v>3.4404220880541687E-2</v>
          </cell>
          <cell r="AE325">
            <v>5.7340368134236146E-2</v>
          </cell>
          <cell r="AH325">
            <v>0.14397941130457748</v>
          </cell>
          <cell r="AI325">
            <v>0.23996568550762915</v>
          </cell>
          <cell r="AL325">
            <v>0.3095607742253686</v>
          </cell>
          <cell r="AM325">
            <v>0.51593462370894771</v>
          </cell>
          <cell r="AP325">
            <v>0.66149333553426148</v>
          </cell>
          <cell r="AQ325">
            <v>1.1024888925571026</v>
          </cell>
        </row>
        <row r="326">
          <cell r="V326">
            <v>0</v>
          </cell>
          <cell r="W326">
            <v>0</v>
          </cell>
          <cell r="Z326">
            <v>2.6290668343115744E-2</v>
          </cell>
          <cell r="AA326">
            <v>6.1344892800603401E-2</v>
          </cell>
          <cell r="AD326">
            <v>5.3230558270105817E-2</v>
          </cell>
          <cell r="AE326">
            <v>0.12420463596358024</v>
          </cell>
          <cell r="AH326">
            <v>0.10529514170512048</v>
          </cell>
          <cell r="AI326">
            <v>0.24568866397861447</v>
          </cell>
          <cell r="AL326">
            <v>0.24761541770833645</v>
          </cell>
          <cell r="AM326">
            <v>0.57776930798611836</v>
          </cell>
          <cell r="AP326">
            <v>0.32261981015125007</v>
          </cell>
          <cell r="AQ326">
            <v>0.75277955701958355</v>
          </cell>
        </row>
        <row r="327">
          <cell r="V327">
            <v>0</v>
          </cell>
          <cell r="W327">
            <v>0</v>
          </cell>
          <cell r="Z327">
            <v>0</v>
          </cell>
          <cell r="AA327">
            <v>0</v>
          </cell>
          <cell r="AD327">
            <v>0</v>
          </cell>
          <cell r="AE327">
            <v>0</v>
          </cell>
          <cell r="AH327">
            <v>0</v>
          </cell>
          <cell r="AI327">
            <v>0</v>
          </cell>
          <cell r="AL327">
            <v>0</v>
          </cell>
          <cell r="AM327">
            <v>0</v>
          </cell>
          <cell r="AP327">
            <v>0</v>
          </cell>
          <cell r="AQ327">
            <v>0</v>
          </cell>
        </row>
        <row r="328">
          <cell r="V328">
            <v>0</v>
          </cell>
          <cell r="W328">
            <v>0</v>
          </cell>
          <cell r="Z328">
            <v>0</v>
          </cell>
          <cell r="AA328">
            <v>0</v>
          </cell>
          <cell r="AD328">
            <v>0</v>
          </cell>
          <cell r="AE328">
            <v>0</v>
          </cell>
          <cell r="AH328">
            <v>0</v>
          </cell>
          <cell r="AI328">
            <v>0</v>
          </cell>
          <cell r="AL328">
            <v>0</v>
          </cell>
          <cell r="AM328">
            <v>0</v>
          </cell>
          <cell r="AP328">
            <v>0</v>
          </cell>
          <cell r="AQ328">
            <v>0</v>
          </cell>
        </row>
        <row r="329">
          <cell r="V329">
            <v>0</v>
          </cell>
          <cell r="W329">
            <v>0</v>
          </cell>
          <cell r="Z329">
            <v>0</v>
          </cell>
          <cell r="AA329">
            <v>0</v>
          </cell>
          <cell r="AD329">
            <v>0</v>
          </cell>
          <cell r="AE329">
            <v>0</v>
          </cell>
          <cell r="AH329">
            <v>0</v>
          </cell>
          <cell r="AI329">
            <v>0</v>
          </cell>
          <cell r="AL329">
            <v>0</v>
          </cell>
          <cell r="AM329">
            <v>0</v>
          </cell>
          <cell r="AP329">
            <v>0</v>
          </cell>
          <cell r="AQ329">
            <v>0</v>
          </cell>
        </row>
        <row r="330">
          <cell r="V330">
            <v>0</v>
          </cell>
          <cell r="W330">
            <v>0</v>
          </cell>
          <cell r="Z330">
            <v>0</v>
          </cell>
          <cell r="AA330">
            <v>0</v>
          </cell>
          <cell r="AD330">
            <v>0</v>
          </cell>
          <cell r="AE330">
            <v>0</v>
          </cell>
          <cell r="AH330">
            <v>0</v>
          </cell>
          <cell r="AI330">
            <v>0</v>
          </cell>
          <cell r="AL330">
            <v>0</v>
          </cell>
          <cell r="AM330">
            <v>0</v>
          </cell>
          <cell r="AP330">
            <v>0</v>
          </cell>
          <cell r="AQ330">
            <v>0</v>
          </cell>
        </row>
        <row r="331">
          <cell r="V331">
            <v>0</v>
          </cell>
          <cell r="W331">
            <v>0</v>
          </cell>
          <cell r="Z331">
            <v>0</v>
          </cell>
          <cell r="AA331">
            <v>0</v>
          </cell>
          <cell r="AD331">
            <v>0</v>
          </cell>
          <cell r="AE331">
            <v>0</v>
          </cell>
          <cell r="AH331">
            <v>0</v>
          </cell>
          <cell r="AI331">
            <v>0</v>
          </cell>
          <cell r="AL331">
            <v>0</v>
          </cell>
          <cell r="AM331">
            <v>0</v>
          </cell>
          <cell r="AP331">
            <v>0</v>
          </cell>
          <cell r="AQ331">
            <v>0</v>
          </cell>
        </row>
        <row r="332">
          <cell r="V332">
            <v>0</v>
          </cell>
          <cell r="W332">
            <v>0</v>
          </cell>
          <cell r="Z332">
            <v>0</v>
          </cell>
          <cell r="AA332">
            <v>0</v>
          </cell>
          <cell r="AD332">
            <v>0</v>
          </cell>
          <cell r="AE332">
            <v>0</v>
          </cell>
          <cell r="AH332">
            <v>0</v>
          </cell>
          <cell r="AI332">
            <v>0</v>
          </cell>
          <cell r="AL332">
            <v>0</v>
          </cell>
          <cell r="AM332">
            <v>0</v>
          </cell>
          <cell r="AP332">
            <v>0</v>
          </cell>
          <cell r="AQ332">
            <v>0</v>
          </cell>
        </row>
        <row r="333">
          <cell r="V333">
            <v>0</v>
          </cell>
          <cell r="W333">
            <v>0</v>
          </cell>
          <cell r="Z333">
            <v>0</v>
          </cell>
          <cell r="AA333">
            <v>0</v>
          </cell>
          <cell r="AD333">
            <v>0</v>
          </cell>
          <cell r="AE333">
            <v>0</v>
          </cell>
          <cell r="AH333">
            <v>0</v>
          </cell>
          <cell r="AI333">
            <v>0</v>
          </cell>
          <cell r="AL333">
            <v>0</v>
          </cell>
          <cell r="AM333">
            <v>0</v>
          </cell>
          <cell r="AP333">
            <v>0</v>
          </cell>
          <cell r="AQ333">
            <v>0</v>
          </cell>
        </row>
        <row r="334">
          <cell r="V334">
            <v>0</v>
          </cell>
          <cell r="W334">
            <v>0</v>
          </cell>
          <cell r="Z334">
            <v>0</v>
          </cell>
          <cell r="AA334">
            <v>0</v>
          </cell>
          <cell r="AD334">
            <v>0</v>
          </cell>
          <cell r="AE334">
            <v>0</v>
          </cell>
          <cell r="AH334">
            <v>0</v>
          </cell>
          <cell r="AI334">
            <v>0</v>
          </cell>
          <cell r="AL334">
            <v>0</v>
          </cell>
          <cell r="AM334">
            <v>0</v>
          </cell>
          <cell r="AP334">
            <v>0</v>
          </cell>
          <cell r="AQ334">
            <v>0</v>
          </cell>
        </row>
        <row r="335">
          <cell r="V335">
            <v>0</v>
          </cell>
          <cell r="W335">
            <v>0</v>
          </cell>
          <cell r="Z335">
            <v>0</v>
          </cell>
          <cell r="AA335">
            <v>0</v>
          </cell>
          <cell r="AD335">
            <v>0</v>
          </cell>
          <cell r="AE335">
            <v>0</v>
          </cell>
          <cell r="AH335">
            <v>0</v>
          </cell>
          <cell r="AI335">
            <v>0</v>
          </cell>
          <cell r="AL335">
            <v>0</v>
          </cell>
          <cell r="AM335">
            <v>0</v>
          </cell>
          <cell r="AP335">
            <v>0</v>
          </cell>
          <cell r="AQ335">
            <v>0</v>
          </cell>
        </row>
        <row r="336">
          <cell r="V336">
            <v>0</v>
          </cell>
          <cell r="W336">
            <v>0</v>
          </cell>
          <cell r="Z336">
            <v>0</v>
          </cell>
          <cell r="AA336">
            <v>0</v>
          </cell>
          <cell r="AD336">
            <v>0</v>
          </cell>
          <cell r="AE336">
            <v>0</v>
          </cell>
          <cell r="AH336">
            <v>0</v>
          </cell>
          <cell r="AI336">
            <v>0</v>
          </cell>
          <cell r="AL336">
            <v>0</v>
          </cell>
          <cell r="AM336">
            <v>0</v>
          </cell>
          <cell r="AP336">
            <v>0</v>
          </cell>
          <cell r="AQ336">
            <v>0</v>
          </cell>
        </row>
        <row r="337">
          <cell r="V337">
            <v>0</v>
          </cell>
          <cell r="W337">
            <v>0</v>
          </cell>
          <cell r="Z337">
            <v>0</v>
          </cell>
          <cell r="AA337">
            <v>0</v>
          </cell>
          <cell r="AD337">
            <v>0</v>
          </cell>
          <cell r="AE337">
            <v>0</v>
          </cell>
          <cell r="AH337">
            <v>0</v>
          </cell>
          <cell r="AI337">
            <v>0</v>
          </cell>
          <cell r="AL337">
            <v>0</v>
          </cell>
          <cell r="AM337">
            <v>0</v>
          </cell>
          <cell r="AP337">
            <v>0</v>
          </cell>
          <cell r="AQ337">
            <v>0</v>
          </cell>
        </row>
        <row r="338">
          <cell r="V338">
            <v>0</v>
          </cell>
          <cell r="W338">
            <v>0</v>
          </cell>
          <cell r="Z338">
            <v>0</v>
          </cell>
          <cell r="AA338">
            <v>0</v>
          </cell>
          <cell r="AD338">
            <v>0</v>
          </cell>
          <cell r="AE338">
            <v>0</v>
          </cell>
          <cell r="AH338">
            <v>0</v>
          </cell>
          <cell r="AI338">
            <v>0</v>
          </cell>
          <cell r="AL338">
            <v>0</v>
          </cell>
          <cell r="AM338">
            <v>0</v>
          </cell>
          <cell r="AP338">
            <v>0</v>
          </cell>
          <cell r="AQ338">
            <v>0</v>
          </cell>
        </row>
        <row r="339">
          <cell r="V339">
            <v>0</v>
          </cell>
          <cell r="W339">
            <v>0</v>
          </cell>
          <cell r="Z339">
            <v>0</v>
          </cell>
          <cell r="AA339">
            <v>0</v>
          </cell>
          <cell r="AD339">
            <v>0</v>
          </cell>
          <cell r="AE339">
            <v>0</v>
          </cell>
          <cell r="AH339">
            <v>0</v>
          </cell>
          <cell r="AI339">
            <v>0</v>
          </cell>
          <cell r="AL339">
            <v>0</v>
          </cell>
          <cell r="AM339">
            <v>0</v>
          </cell>
          <cell r="AP339">
            <v>0</v>
          </cell>
          <cell r="AQ339">
            <v>0</v>
          </cell>
        </row>
        <row r="340">
          <cell r="V340">
            <v>0</v>
          </cell>
          <cell r="W340">
            <v>0</v>
          </cell>
          <cell r="Z340">
            <v>0</v>
          </cell>
          <cell r="AA340">
            <v>0</v>
          </cell>
          <cell r="AD340">
            <v>0</v>
          </cell>
          <cell r="AE340">
            <v>0</v>
          </cell>
          <cell r="AH340">
            <v>0</v>
          </cell>
          <cell r="AI340">
            <v>0</v>
          </cell>
          <cell r="AL340">
            <v>0</v>
          </cell>
          <cell r="AM340">
            <v>0</v>
          </cell>
          <cell r="AP340">
            <v>0</v>
          </cell>
          <cell r="AQ340">
            <v>0</v>
          </cell>
        </row>
        <row r="341">
          <cell r="V341">
            <v>0</v>
          </cell>
          <cell r="W341">
            <v>0</v>
          </cell>
          <cell r="Z341">
            <v>0</v>
          </cell>
          <cell r="AA341">
            <v>0</v>
          </cell>
          <cell r="AD341">
            <v>0</v>
          </cell>
          <cell r="AE341">
            <v>0</v>
          </cell>
          <cell r="AH341">
            <v>2.7334908546917127</v>
          </cell>
          <cell r="AI341">
            <v>8.6386657545219006</v>
          </cell>
          <cell r="AL341">
            <v>4.1776415074009599</v>
          </cell>
          <cell r="AM341">
            <v>13.202622779114483</v>
          </cell>
          <cell r="AP341">
            <v>11.949514841477246</v>
          </cell>
          <cell r="AQ341">
            <v>37.764115605889927</v>
          </cell>
        </row>
        <row r="342">
          <cell r="V342">
            <v>0</v>
          </cell>
          <cell r="W342">
            <v>0</v>
          </cell>
          <cell r="Z342">
            <v>0</v>
          </cell>
          <cell r="AA342">
            <v>0</v>
          </cell>
          <cell r="AD342">
            <v>0</v>
          </cell>
          <cell r="AE342">
            <v>0</v>
          </cell>
          <cell r="AH342">
            <v>0</v>
          </cell>
          <cell r="AI342">
            <v>0</v>
          </cell>
          <cell r="AL342">
            <v>0</v>
          </cell>
          <cell r="AM342">
            <v>0</v>
          </cell>
          <cell r="AP342">
            <v>0</v>
          </cell>
          <cell r="AQ342">
            <v>0</v>
          </cell>
        </row>
        <row r="343">
          <cell r="V343">
            <v>0</v>
          </cell>
          <cell r="W343">
            <v>0</v>
          </cell>
          <cell r="Z343">
            <v>0</v>
          </cell>
          <cell r="AA343">
            <v>0</v>
          </cell>
          <cell r="AD343">
            <v>0</v>
          </cell>
          <cell r="AE343">
            <v>0</v>
          </cell>
          <cell r="AH343">
            <v>0</v>
          </cell>
          <cell r="AI343">
            <v>0</v>
          </cell>
          <cell r="AL343">
            <v>0</v>
          </cell>
          <cell r="AM343">
            <v>0</v>
          </cell>
          <cell r="AP343">
            <v>0</v>
          </cell>
          <cell r="AQ343">
            <v>0</v>
          </cell>
        </row>
        <row r="344">
          <cell r="V344">
            <v>0</v>
          </cell>
          <cell r="W344">
            <v>0</v>
          </cell>
          <cell r="Z344">
            <v>0</v>
          </cell>
          <cell r="AA344">
            <v>0</v>
          </cell>
          <cell r="AD344">
            <v>0</v>
          </cell>
          <cell r="AE344">
            <v>0</v>
          </cell>
          <cell r="AH344">
            <v>0</v>
          </cell>
          <cell r="AI344">
            <v>0</v>
          </cell>
          <cell r="AL344">
            <v>0</v>
          </cell>
          <cell r="AM344">
            <v>0</v>
          </cell>
          <cell r="AP344">
            <v>0</v>
          </cell>
          <cell r="AQ344">
            <v>0</v>
          </cell>
        </row>
        <row r="345">
          <cell r="V345">
            <v>0</v>
          </cell>
          <cell r="W345">
            <v>0</v>
          </cell>
          <cell r="Z345">
            <v>0</v>
          </cell>
          <cell r="AA345">
            <v>0</v>
          </cell>
          <cell r="AD345">
            <v>0</v>
          </cell>
          <cell r="AE345">
            <v>0</v>
          </cell>
          <cell r="AH345">
            <v>0</v>
          </cell>
          <cell r="AI345">
            <v>0</v>
          </cell>
          <cell r="AL345">
            <v>0</v>
          </cell>
          <cell r="AM345">
            <v>0</v>
          </cell>
          <cell r="AP345">
            <v>0</v>
          </cell>
          <cell r="AQ345">
            <v>0</v>
          </cell>
        </row>
        <row r="346">
          <cell r="V346">
            <v>0</v>
          </cell>
          <cell r="W346">
            <v>0</v>
          </cell>
          <cell r="Z346">
            <v>0</v>
          </cell>
          <cell r="AA346">
            <v>0</v>
          </cell>
          <cell r="AD346">
            <v>0</v>
          </cell>
          <cell r="AE346">
            <v>0</v>
          </cell>
          <cell r="AH346">
            <v>0</v>
          </cell>
          <cell r="AI346">
            <v>0</v>
          </cell>
          <cell r="AL346">
            <v>0</v>
          </cell>
          <cell r="AM346">
            <v>0</v>
          </cell>
          <cell r="AP346">
            <v>0</v>
          </cell>
          <cell r="AQ346">
            <v>0</v>
          </cell>
        </row>
        <row r="347">
          <cell r="V347">
            <v>0</v>
          </cell>
          <cell r="W347">
            <v>0</v>
          </cell>
          <cell r="Z347">
            <v>0</v>
          </cell>
          <cell r="AA347">
            <v>0</v>
          </cell>
          <cell r="AD347">
            <v>0</v>
          </cell>
          <cell r="AE347">
            <v>0</v>
          </cell>
          <cell r="AH347">
            <v>0</v>
          </cell>
          <cell r="AI347">
            <v>0</v>
          </cell>
          <cell r="AL347">
            <v>0</v>
          </cell>
          <cell r="AM347">
            <v>0</v>
          </cell>
          <cell r="AP347">
            <v>0</v>
          </cell>
          <cell r="AQ347">
            <v>0</v>
          </cell>
        </row>
        <row r="348">
          <cell r="V348">
            <v>0</v>
          </cell>
          <cell r="W348">
            <v>0</v>
          </cell>
          <cell r="Z348">
            <v>0</v>
          </cell>
          <cell r="AA348">
            <v>0</v>
          </cell>
          <cell r="AD348">
            <v>0</v>
          </cell>
          <cell r="AE348">
            <v>0</v>
          </cell>
          <cell r="AH348">
            <v>0</v>
          </cell>
          <cell r="AI348">
            <v>0</v>
          </cell>
          <cell r="AL348">
            <v>0</v>
          </cell>
          <cell r="AM348">
            <v>0</v>
          </cell>
          <cell r="AP348">
            <v>0</v>
          </cell>
          <cell r="AQ348">
            <v>0</v>
          </cell>
        </row>
        <row r="349">
          <cell r="V349">
            <v>0</v>
          </cell>
          <cell r="W349">
            <v>0</v>
          </cell>
          <cell r="Z349">
            <v>0</v>
          </cell>
          <cell r="AA349">
            <v>0</v>
          </cell>
          <cell r="AD349">
            <v>0</v>
          </cell>
          <cell r="AE349">
            <v>0</v>
          </cell>
          <cell r="AH349">
            <v>0</v>
          </cell>
          <cell r="AI349">
            <v>0</v>
          </cell>
          <cell r="AL349">
            <v>0</v>
          </cell>
          <cell r="AM349">
            <v>0</v>
          </cell>
          <cell r="AP349">
            <v>0</v>
          </cell>
          <cell r="AQ349">
            <v>0</v>
          </cell>
        </row>
        <row r="350">
          <cell r="V350">
            <v>0</v>
          </cell>
          <cell r="W350">
            <v>0</v>
          </cell>
          <cell r="Z350">
            <v>0</v>
          </cell>
          <cell r="AA350">
            <v>0</v>
          </cell>
          <cell r="AD350">
            <v>0</v>
          </cell>
          <cell r="AE350">
            <v>0</v>
          </cell>
          <cell r="AH350">
            <v>0</v>
          </cell>
          <cell r="AI350">
            <v>0</v>
          </cell>
          <cell r="AL350">
            <v>0</v>
          </cell>
          <cell r="AM350">
            <v>0</v>
          </cell>
          <cell r="AP350">
            <v>0</v>
          </cell>
          <cell r="AQ350">
            <v>0</v>
          </cell>
        </row>
        <row r="351">
          <cell r="V351">
            <v>0</v>
          </cell>
          <cell r="W351">
            <v>0</v>
          </cell>
          <cell r="Z351">
            <v>0</v>
          </cell>
          <cell r="AA351">
            <v>0</v>
          </cell>
          <cell r="AD351">
            <v>0</v>
          </cell>
          <cell r="AE351">
            <v>0</v>
          </cell>
          <cell r="AH351">
            <v>0</v>
          </cell>
          <cell r="AI351">
            <v>0</v>
          </cell>
          <cell r="AL351">
            <v>0</v>
          </cell>
          <cell r="AM351">
            <v>0</v>
          </cell>
          <cell r="AP351">
            <v>0</v>
          </cell>
          <cell r="AQ351">
            <v>0</v>
          </cell>
        </row>
        <row r="352">
          <cell r="V352">
            <v>2.2451613402355521</v>
          </cell>
          <cell r="W352">
            <v>4.062672901378618</v>
          </cell>
          <cell r="Z352">
            <v>4.3167364119449969</v>
          </cell>
          <cell r="AA352">
            <v>7.8112373168528508</v>
          </cell>
          <cell r="AD352">
            <v>4.7109970803282293</v>
          </cell>
          <cell r="AE352">
            <v>8.5246613834510807</v>
          </cell>
          <cell r="AH352">
            <v>7.8733271724890592</v>
          </cell>
          <cell r="AI352">
            <v>14.246972978789728</v>
          </cell>
          <cell r="AL352">
            <v>9.9544006451279596</v>
          </cell>
          <cell r="AM352">
            <v>18.012724976898213</v>
          </cell>
          <cell r="AP352">
            <v>12.066113430087938</v>
          </cell>
          <cell r="AQ352">
            <v>21.83391954015913</v>
          </cell>
        </row>
        <row r="353">
          <cell r="V353">
            <v>0</v>
          </cell>
          <cell r="W353">
            <v>0</v>
          </cell>
          <cell r="Z353">
            <v>0</v>
          </cell>
          <cell r="AA353">
            <v>0</v>
          </cell>
          <cell r="AD353">
            <v>0</v>
          </cell>
          <cell r="AE353">
            <v>0</v>
          </cell>
          <cell r="AH353">
            <v>0</v>
          </cell>
          <cell r="AI353">
            <v>0</v>
          </cell>
          <cell r="AL353">
            <v>0</v>
          </cell>
          <cell r="AM353">
            <v>0</v>
          </cell>
          <cell r="AP353">
            <v>0</v>
          </cell>
          <cell r="AQ353">
            <v>0</v>
          </cell>
        </row>
        <row r="354">
          <cell r="V354">
            <v>0</v>
          </cell>
          <cell r="W354">
            <v>0</v>
          </cell>
          <cell r="Z354">
            <v>0</v>
          </cell>
          <cell r="AA354">
            <v>0</v>
          </cell>
          <cell r="AD354">
            <v>0</v>
          </cell>
          <cell r="AE354">
            <v>0</v>
          </cell>
          <cell r="AH354">
            <v>0</v>
          </cell>
          <cell r="AI354">
            <v>0</v>
          </cell>
          <cell r="AL354">
            <v>0</v>
          </cell>
          <cell r="AM354">
            <v>0</v>
          </cell>
          <cell r="AP354">
            <v>0</v>
          </cell>
          <cell r="AQ354">
            <v>0</v>
          </cell>
        </row>
        <row r="355">
          <cell r="V355">
            <v>0</v>
          </cell>
          <cell r="W355">
            <v>0</v>
          </cell>
          <cell r="Z355">
            <v>0</v>
          </cell>
          <cell r="AA355">
            <v>0</v>
          </cell>
          <cell r="AD355">
            <v>0</v>
          </cell>
          <cell r="AE355">
            <v>0</v>
          </cell>
          <cell r="AH355">
            <v>0</v>
          </cell>
          <cell r="AI355">
            <v>0</v>
          </cell>
          <cell r="AL355">
            <v>0</v>
          </cell>
          <cell r="AM355">
            <v>0</v>
          </cell>
          <cell r="AP355">
            <v>0</v>
          </cell>
          <cell r="AQ355">
            <v>0</v>
          </cell>
        </row>
        <row r="356">
          <cell r="V356">
            <v>0</v>
          </cell>
          <cell r="W356">
            <v>0</v>
          </cell>
          <cell r="Z356">
            <v>0</v>
          </cell>
          <cell r="AA356">
            <v>0</v>
          </cell>
          <cell r="AD356">
            <v>0</v>
          </cell>
          <cell r="AE356">
            <v>0</v>
          </cell>
          <cell r="AH356">
            <v>0</v>
          </cell>
          <cell r="AI356">
            <v>0</v>
          </cell>
          <cell r="AL356">
            <v>0</v>
          </cell>
          <cell r="AM356">
            <v>0</v>
          </cell>
          <cell r="AP356">
            <v>0</v>
          </cell>
          <cell r="AQ356">
            <v>0</v>
          </cell>
        </row>
        <row r="357">
          <cell r="V357">
            <v>0</v>
          </cell>
          <cell r="W357">
            <v>0</v>
          </cell>
          <cell r="Z357">
            <v>0</v>
          </cell>
          <cell r="AA357">
            <v>0</v>
          </cell>
          <cell r="AD357">
            <v>0</v>
          </cell>
          <cell r="AE357">
            <v>0</v>
          </cell>
          <cell r="AH357">
            <v>0</v>
          </cell>
          <cell r="AI357">
            <v>0</v>
          </cell>
          <cell r="AL357">
            <v>0</v>
          </cell>
          <cell r="AM357">
            <v>0</v>
          </cell>
          <cell r="AP357">
            <v>0</v>
          </cell>
          <cell r="AQ357">
            <v>0</v>
          </cell>
        </row>
        <row r="358">
          <cell r="V358">
            <v>0</v>
          </cell>
          <cell r="W358">
            <v>0</v>
          </cell>
          <cell r="Z358">
            <v>0</v>
          </cell>
          <cell r="AA358">
            <v>0</v>
          </cell>
          <cell r="AD358">
            <v>0</v>
          </cell>
          <cell r="AE358">
            <v>0</v>
          </cell>
          <cell r="AH358">
            <v>0</v>
          </cell>
          <cell r="AI358">
            <v>0</v>
          </cell>
          <cell r="AL358">
            <v>0</v>
          </cell>
          <cell r="AM358">
            <v>0</v>
          </cell>
          <cell r="AP358">
            <v>0</v>
          </cell>
          <cell r="AQ358">
            <v>0</v>
          </cell>
        </row>
        <row r="359">
          <cell r="V359">
            <v>0</v>
          </cell>
          <cell r="W359">
            <v>0</v>
          </cell>
          <cell r="Z359">
            <v>0</v>
          </cell>
          <cell r="AA359">
            <v>0</v>
          </cell>
          <cell r="AD359">
            <v>0</v>
          </cell>
          <cell r="AE359">
            <v>0</v>
          </cell>
          <cell r="AH359">
            <v>0</v>
          </cell>
          <cell r="AI359">
            <v>0</v>
          </cell>
          <cell r="AL359">
            <v>0</v>
          </cell>
          <cell r="AM359">
            <v>0</v>
          </cell>
          <cell r="AP359">
            <v>0</v>
          </cell>
          <cell r="AQ359">
            <v>0</v>
          </cell>
        </row>
        <row r="360">
          <cell r="V360">
            <v>0</v>
          </cell>
          <cell r="W360">
            <v>0</v>
          </cell>
          <cell r="Z360">
            <v>0</v>
          </cell>
          <cell r="AA360">
            <v>0</v>
          </cell>
          <cell r="AD360">
            <v>0</v>
          </cell>
          <cell r="AE360">
            <v>0</v>
          </cell>
          <cell r="AH360">
            <v>0</v>
          </cell>
          <cell r="AI360">
            <v>0</v>
          </cell>
          <cell r="AL360">
            <v>0</v>
          </cell>
          <cell r="AM360">
            <v>0</v>
          </cell>
          <cell r="AP360">
            <v>0</v>
          </cell>
          <cell r="AQ360">
            <v>0</v>
          </cell>
        </row>
        <row r="361">
          <cell r="V361">
            <v>0</v>
          </cell>
          <cell r="W361">
            <v>0</v>
          </cell>
          <cell r="Z361">
            <v>0</v>
          </cell>
          <cell r="AA361">
            <v>0</v>
          </cell>
          <cell r="AD361">
            <v>0</v>
          </cell>
          <cell r="AE361">
            <v>0</v>
          </cell>
          <cell r="AH361">
            <v>0</v>
          </cell>
          <cell r="AI361">
            <v>0</v>
          </cell>
          <cell r="AL361">
            <v>0</v>
          </cell>
          <cell r="AM361">
            <v>0</v>
          </cell>
          <cell r="AP361">
            <v>0</v>
          </cell>
          <cell r="AQ361">
            <v>0</v>
          </cell>
        </row>
        <row r="362">
          <cell r="V362">
            <v>0</v>
          </cell>
          <cell r="W362">
            <v>0</v>
          </cell>
          <cell r="Z362">
            <v>0</v>
          </cell>
          <cell r="AA362">
            <v>0</v>
          </cell>
          <cell r="AD362">
            <v>0</v>
          </cell>
          <cell r="AE362">
            <v>0</v>
          </cell>
          <cell r="AH362">
            <v>0</v>
          </cell>
          <cell r="AI362">
            <v>0</v>
          </cell>
          <cell r="AL362">
            <v>0</v>
          </cell>
          <cell r="AM362">
            <v>0</v>
          </cell>
          <cell r="AP362">
            <v>0</v>
          </cell>
          <cell r="AQ362">
            <v>0</v>
          </cell>
        </row>
        <row r="363">
          <cell r="V363">
            <v>0</v>
          </cell>
          <cell r="W363">
            <v>0</v>
          </cell>
          <cell r="Z363">
            <v>0</v>
          </cell>
          <cell r="AA363">
            <v>0</v>
          </cell>
          <cell r="AD363">
            <v>0</v>
          </cell>
          <cell r="AE363">
            <v>0</v>
          </cell>
          <cell r="AH363">
            <v>0</v>
          </cell>
          <cell r="AI363">
            <v>0</v>
          </cell>
          <cell r="AL363">
            <v>0</v>
          </cell>
          <cell r="AM363">
            <v>0</v>
          </cell>
          <cell r="AP363">
            <v>0</v>
          </cell>
          <cell r="AQ363">
            <v>0</v>
          </cell>
        </row>
        <row r="364">
          <cell r="V364">
            <v>0</v>
          </cell>
          <cell r="W364">
            <v>0</v>
          </cell>
          <cell r="Z364">
            <v>0</v>
          </cell>
          <cell r="AA364">
            <v>0</v>
          </cell>
          <cell r="AD364">
            <v>0</v>
          </cell>
          <cell r="AE364">
            <v>0</v>
          </cell>
          <cell r="AH364">
            <v>0</v>
          </cell>
          <cell r="AI364">
            <v>0</v>
          </cell>
          <cell r="AL364">
            <v>0</v>
          </cell>
          <cell r="AM364">
            <v>0</v>
          </cell>
          <cell r="AP364">
            <v>0</v>
          </cell>
          <cell r="AQ364">
            <v>0</v>
          </cell>
        </row>
        <row r="365">
          <cell r="V365">
            <v>0</v>
          </cell>
          <cell r="W365">
            <v>0</v>
          </cell>
          <cell r="Z365">
            <v>0</v>
          </cell>
          <cell r="AA365">
            <v>0</v>
          </cell>
          <cell r="AD365">
            <v>0</v>
          </cell>
          <cell r="AE365">
            <v>0</v>
          </cell>
          <cell r="AH365">
            <v>0</v>
          </cell>
          <cell r="AI365">
            <v>0</v>
          </cell>
          <cell r="AL365">
            <v>0</v>
          </cell>
          <cell r="AM365">
            <v>0</v>
          </cell>
          <cell r="AP365">
            <v>0</v>
          </cell>
          <cell r="AQ365">
            <v>0</v>
          </cell>
        </row>
        <row r="366">
          <cell r="V366">
            <v>0</v>
          </cell>
          <cell r="W366">
            <v>0</v>
          </cell>
          <cell r="Z366">
            <v>0</v>
          </cell>
          <cell r="AA366">
            <v>0</v>
          </cell>
          <cell r="AD366">
            <v>0</v>
          </cell>
          <cell r="AE366">
            <v>0</v>
          </cell>
          <cell r="AH366">
            <v>0</v>
          </cell>
          <cell r="AI366">
            <v>0</v>
          </cell>
          <cell r="AL366">
            <v>0</v>
          </cell>
          <cell r="AM366">
            <v>0</v>
          </cell>
          <cell r="AP366">
            <v>0</v>
          </cell>
          <cell r="AQ366">
            <v>0</v>
          </cell>
        </row>
        <row r="367">
          <cell r="V367">
            <v>0</v>
          </cell>
          <cell r="W367">
            <v>0</v>
          </cell>
          <cell r="Z367">
            <v>0</v>
          </cell>
          <cell r="AA367">
            <v>0</v>
          </cell>
          <cell r="AD367">
            <v>0</v>
          </cell>
          <cell r="AE367">
            <v>0</v>
          </cell>
          <cell r="AH367">
            <v>0</v>
          </cell>
          <cell r="AI367">
            <v>0</v>
          </cell>
          <cell r="AL367">
            <v>0</v>
          </cell>
          <cell r="AM367">
            <v>0</v>
          </cell>
          <cell r="AP367">
            <v>0</v>
          </cell>
          <cell r="AQ367">
            <v>0</v>
          </cell>
        </row>
        <row r="368">
          <cell r="V368">
            <v>0</v>
          </cell>
          <cell r="W368">
            <v>0</v>
          </cell>
          <cell r="Z368">
            <v>0</v>
          </cell>
          <cell r="AA368">
            <v>0</v>
          </cell>
          <cell r="AD368">
            <v>0</v>
          </cell>
          <cell r="AE368">
            <v>0</v>
          </cell>
          <cell r="AH368">
            <v>0</v>
          </cell>
          <cell r="AI368">
            <v>0</v>
          </cell>
          <cell r="AL368">
            <v>0</v>
          </cell>
          <cell r="AM368">
            <v>0</v>
          </cell>
          <cell r="AP368">
            <v>0</v>
          </cell>
          <cell r="AQ368">
            <v>0</v>
          </cell>
        </row>
        <row r="369">
          <cell r="V369">
            <v>0</v>
          </cell>
          <cell r="W369">
            <v>0</v>
          </cell>
          <cell r="Z369">
            <v>0</v>
          </cell>
          <cell r="AA369">
            <v>0</v>
          </cell>
          <cell r="AD369">
            <v>0</v>
          </cell>
          <cell r="AE369">
            <v>0</v>
          </cell>
          <cell r="AH369">
            <v>0</v>
          </cell>
          <cell r="AI369">
            <v>0</v>
          </cell>
          <cell r="AL369">
            <v>0</v>
          </cell>
          <cell r="AM369">
            <v>0</v>
          </cell>
          <cell r="AP369">
            <v>0</v>
          </cell>
          <cell r="AQ369">
            <v>0</v>
          </cell>
        </row>
        <row r="370">
          <cell r="V370">
            <v>0</v>
          </cell>
          <cell r="W370">
            <v>0</v>
          </cell>
          <cell r="Z370">
            <v>0</v>
          </cell>
          <cell r="AA370">
            <v>0</v>
          </cell>
          <cell r="AD370">
            <v>0</v>
          </cell>
          <cell r="AE370">
            <v>0</v>
          </cell>
          <cell r="AH370">
            <v>0</v>
          </cell>
          <cell r="AI370">
            <v>0</v>
          </cell>
          <cell r="AL370">
            <v>0</v>
          </cell>
          <cell r="AM370">
            <v>0</v>
          </cell>
          <cell r="AP370">
            <v>0</v>
          </cell>
          <cell r="AQ370">
            <v>0</v>
          </cell>
        </row>
        <row r="371">
          <cell r="V371">
            <v>0</v>
          </cell>
          <cell r="W371">
            <v>0</v>
          </cell>
          <cell r="Z371">
            <v>0</v>
          </cell>
          <cell r="AA371">
            <v>0</v>
          </cell>
          <cell r="AD371">
            <v>0</v>
          </cell>
          <cell r="AE371">
            <v>0</v>
          </cell>
          <cell r="AH371">
            <v>0</v>
          </cell>
          <cell r="AI371">
            <v>0</v>
          </cell>
          <cell r="AL371">
            <v>0</v>
          </cell>
          <cell r="AM371">
            <v>0</v>
          </cell>
          <cell r="AP371">
            <v>0</v>
          </cell>
          <cell r="AQ371">
            <v>0</v>
          </cell>
        </row>
        <row r="372">
          <cell r="V372">
            <v>0</v>
          </cell>
          <cell r="W372">
            <v>0</v>
          </cell>
          <cell r="Z372">
            <v>0</v>
          </cell>
          <cell r="AA372">
            <v>0</v>
          </cell>
          <cell r="AD372">
            <v>0</v>
          </cell>
          <cell r="AE372">
            <v>0</v>
          </cell>
          <cell r="AH372">
            <v>0</v>
          </cell>
          <cell r="AI372">
            <v>0</v>
          </cell>
          <cell r="AL372">
            <v>0</v>
          </cell>
          <cell r="AM372">
            <v>0</v>
          </cell>
          <cell r="AP372">
            <v>0</v>
          </cell>
          <cell r="AQ372">
            <v>0</v>
          </cell>
        </row>
        <row r="373">
          <cell r="V373">
            <v>0</v>
          </cell>
          <cell r="W373">
            <v>0</v>
          </cell>
          <cell r="Z373">
            <v>0</v>
          </cell>
          <cell r="AA373">
            <v>0</v>
          </cell>
          <cell r="AD373">
            <v>0</v>
          </cell>
          <cell r="AE373">
            <v>0</v>
          </cell>
          <cell r="AH373">
            <v>0</v>
          </cell>
          <cell r="AI373">
            <v>0</v>
          </cell>
          <cell r="AL373">
            <v>0</v>
          </cell>
          <cell r="AM373">
            <v>0</v>
          </cell>
          <cell r="AP373">
            <v>0</v>
          </cell>
          <cell r="AQ373">
            <v>0</v>
          </cell>
        </row>
        <row r="374">
          <cell r="V374">
            <v>0.9027620625289996</v>
          </cell>
          <cell r="W374">
            <v>1.437049813821673</v>
          </cell>
          <cell r="Z374">
            <v>1.4555421618446989</v>
          </cell>
          <cell r="AA374">
            <v>2.316985482120133</v>
          </cell>
          <cell r="AD374">
            <v>2.0222035750710354</v>
          </cell>
          <cell r="AE374">
            <v>3.2190179358273623</v>
          </cell>
          <cell r="AH374">
            <v>2.71559773666544</v>
          </cell>
          <cell r="AI374">
            <v>4.3227882338755981</v>
          </cell>
          <cell r="AL374">
            <v>3.3990620494026866</v>
          </cell>
          <cell r="AM374">
            <v>5.4107518337430518</v>
          </cell>
          <cell r="AP374">
            <v>4.0942047078890509</v>
          </cell>
          <cell r="AQ374">
            <v>6.5173054533744068</v>
          </cell>
        </row>
        <row r="375">
          <cell r="V375">
            <v>0</v>
          </cell>
          <cell r="W375">
            <v>0</v>
          </cell>
          <cell r="Z375">
            <v>0</v>
          </cell>
          <cell r="AA375">
            <v>0</v>
          </cell>
          <cell r="AD375">
            <v>0</v>
          </cell>
          <cell r="AE375">
            <v>0</v>
          </cell>
          <cell r="AH375">
            <v>0</v>
          </cell>
          <cell r="AI375">
            <v>0</v>
          </cell>
          <cell r="AL375">
            <v>0</v>
          </cell>
          <cell r="AM375">
            <v>0</v>
          </cell>
          <cell r="AP375">
            <v>0</v>
          </cell>
          <cell r="AQ375">
            <v>0</v>
          </cell>
        </row>
        <row r="376">
          <cell r="V376">
            <v>0</v>
          </cell>
          <cell r="W376">
            <v>0</v>
          </cell>
          <cell r="Z376">
            <v>0</v>
          </cell>
          <cell r="AA376">
            <v>0</v>
          </cell>
          <cell r="AD376">
            <v>0</v>
          </cell>
          <cell r="AE376">
            <v>0</v>
          </cell>
          <cell r="AH376">
            <v>0</v>
          </cell>
          <cell r="AI376">
            <v>0</v>
          </cell>
          <cell r="AL376">
            <v>0</v>
          </cell>
          <cell r="AM376">
            <v>0</v>
          </cell>
          <cell r="AP376">
            <v>0</v>
          </cell>
          <cell r="AQ376">
            <v>0</v>
          </cell>
        </row>
        <row r="377">
          <cell r="V377">
            <v>0</v>
          </cell>
          <cell r="W377">
            <v>0</v>
          </cell>
          <cell r="Z377">
            <v>0</v>
          </cell>
          <cell r="AA377">
            <v>0</v>
          </cell>
          <cell r="AD377">
            <v>0</v>
          </cell>
          <cell r="AE377">
            <v>0</v>
          </cell>
          <cell r="AH377">
            <v>0</v>
          </cell>
          <cell r="AI377">
            <v>0</v>
          </cell>
          <cell r="AL377">
            <v>0</v>
          </cell>
          <cell r="AM377">
            <v>0</v>
          </cell>
          <cell r="AP377">
            <v>0</v>
          </cell>
          <cell r="AQ377">
            <v>0</v>
          </cell>
        </row>
        <row r="378">
          <cell r="V378">
            <v>0</v>
          </cell>
          <cell r="W378">
            <v>0</v>
          </cell>
          <cell r="Z378">
            <v>0</v>
          </cell>
          <cell r="AA378">
            <v>0</v>
          </cell>
          <cell r="AD378">
            <v>0</v>
          </cell>
          <cell r="AE378">
            <v>0</v>
          </cell>
          <cell r="AH378">
            <v>0</v>
          </cell>
          <cell r="AI378">
            <v>0</v>
          </cell>
          <cell r="AL378">
            <v>0</v>
          </cell>
          <cell r="AM378">
            <v>0</v>
          </cell>
          <cell r="AP378">
            <v>0</v>
          </cell>
          <cell r="AQ378">
            <v>0</v>
          </cell>
        </row>
        <row r="379">
          <cell r="V379">
            <v>0</v>
          </cell>
          <cell r="W379">
            <v>0</v>
          </cell>
          <cell r="Z379">
            <v>0</v>
          </cell>
          <cell r="AA379">
            <v>0</v>
          </cell>
          <cell r="AD379">
            <v>0</v>
          </cell>
          <cell r="AE379">
            <v>0</v>
          </cell>
          <cell r="AH379">
            <v>0</v>
          </cell>
          <cell r="AI379">
            <v>0</v>
          </cell>
          <cell r="AL379">
            <v>0</v>
          </cell>
          <cell r="AM379">
            <v>0</v>
          </cell>
          <cell r="AP379">
            <v>0</v>
          </cell>
          <cell r="AQ379">
            <v>0</v>
          </cell>
        </row>
        <row r="380">
          <cell r="V380">
            <v>0</v>
          </cell>
          <cell r="W380">
            <v>0</v>
          </cell>
          <cell r="Z380">
            <v>0</v>
          </cell>
          <cell r="AA380">
            <v>0</v>
          </cell>
          <cell r="AD380">
            <v>0</v>
          </cell>
          <cell r="AE380">
            <v>0</v>
          </cell>
          <cell r="AH380">
            <v>0</v>
          </cell>
          <cell r="AI380">
            <v>0</v>
          </cell>
          <cell r="AL380">
            <v>0</v>
          </cell>
          <cell r="AM380">
            <v>0</v>
          </cell>
          <cell r="AP380">
            <v>0</v>
          </cell>
          <cell r="AQ380">
            <v>0</v>
          </cell>
        </row>
        <row r="381">
          <cell r="V381">
            <v>0</v>
          </cell>
          <cell r="W381">
            <v>0</v>
          </cell>
          <cell r="Z381">
            <v>0</v>
          </cell>
          <cell r="AA381">
            <v>0</v>
          </cell>
          <cell r="AD381">
            <v>0</v>
          </cell>
          <cell r="AE381">
            <v>0</v>
          </cell>
          <cell r="AH381">
            <v>0</v>
          </cell>
          <cell r="AI381">
            <v>0</v>
          </cell>
          <cell r="AL381">
            <v>0</v>
          </cell>
          <cell r="AM381">
            <v>0</v>
          </cell>
          <cell r="AP381">
            <v>0</v>
          </cell>
          <cell r="AQ381">
            <v>0</v>
          </cell>
        </row>
        <row r="382">
          <cell r="V382">
            <v>0</v>
          </cell>
          <cell r="W382">
            <v>0</v>
          </cell>
          <cell r="Z382">
            <v>0</v>
          </cell>
          <cell r="AA382">
            <v>0</v>
          </cell>
          <cell r="AD382">
            <v>0</v>
          </cell>
          <cell r="AE382">
            <v>0</v>
          </cell>
          <cell r="AH382">
            <v>0</v>
          </cell>
          <cell r="AI382">
            <v>0</v>
          </cell>
          <cell r="AL382">
            <v>0</v>
          </cell>
          <cell r="AM382">
            <v>0</v>
          </cell>
          <cell r="AP382">
            <v>0</v>
          </cell>
          <cell r="AQ382">
            <v>0</v>
          </cell>
        </row>
        <row r="383">
          <cell r="V383">
            <v>0</v>
          </cell>
          <cell r="W383">
            <v>0</v>
          </cell>
          <cell r="Z383">
            <v>0</v>
          </cell>
          <cell r="AA383">
            <v>0</v>
          </cell>
          <cell r="AD383">
            <v>0</v>
          </cell>
          <cell r="AE383">
            <v>0</v>
          </cell>
          <cell r="AH383">
            <v>0</v>
          </cell>
          <cell r="AI383">
            <v>0</v>
          </cell>
          <cell r="AL383">
            <v>0</v>
          </cell>
          <cell r="AM383">
            <v>0</v>
          </cell>
          <cell r="AP383">
            <v>0</v>
          </cell>
          <cell r="AQ383">
            <v>0</v>
          </cell>
        </row>
        <row r="384">
          <cell r="V384">
            <v>0</v>
          </cell>
          <cell r="W384">
            <v>0</v>
          </cell>
          <cell r="Z384">
            <v>0</v>
          </cell>
          <cell r="AA384">
            <v>0</v>
          </cell>
          <cell r="AD384">
            <v>0</v>
          </cell>
          <cell r="AE384">
            <v>0</v>
          </cell>
          <cell r="AH384">
            <v>0</v>
          </cell>
          <cell r="AI384">
            <v>0</v>
          </cell>
          <cell r="AL384">
            <v>0</v>
          </cell>
          <cell r="AM384">
            <v>0</v>
          </cell>
          <cell r="AP384">
            <v>0</v>
          </cell>
          <cell r="AQ384">
            <v>0</v>
          </cell>
        </row>
        <row r="385">
          <cell r="V385">
            <v>0</v>
          </cell>
          <cell r="W385">
            <v>0</v>
          </cell>
          <cell r="Z385">
            <v>0</v>
          </cell>
          <cell r="AA385">
            <v>0</v>
          </cell>
          <cell r="AD385">
            <v>0</v>
          </cell>
          <cell r="AE385">
            <v>0</v>
          </cell>
          <cell r="AH385">
            <v>0</v>
          </cell>
          <cell r="AI385">
            <v>0</v>
          </cell>
          <cell r="AL385">
            <v>0</v>
          </cell>
          <cell r="AM385">
            <v>0</v>
          </cell>
          <cell r="AP385">
            <v>0</v>
          </cell>
          <cell r="AQ385">
            <v>0</v>
          </cell>
        </row>
        <row r="386">
          <cell r="V386">
            <v>0</v>
          </cell>
          <cell r="W386">
            <v>0</v>
          </cell>
          <cell r="Z386">
            <v>0</v>
          </cell>
          <cell r="AA386">
            <v>0</v>
          </cell>
          <cell r="AD386">
            <v>0</v>
          </cell>
          <cell r="AE386">
            <v>0</v>
          </cell>
          <cell r="AH386">
            <v>0</v>
          </cell>
          <cell r="AI386">
            <v>0</v>
          </cell>
          <cell r="AL386">
            <v>0</v>
          </cell>
          <cell r="AM386">
            <v>0</v>
          </cell>
          <cell r="AP386">
            <v>0</v>
          </cell>
          <cell r="AQ386">
            <v>0</v>
          </cell>
        </row>
        <row r="387">
          <cell r="V387">
            <v>0</v>
          </cell>
          <cell r="W387">
            <v>0</v>
          </cell>
          <cell r="Z387">
            <v>0</v>
          </cell>
          <cell r="AA387">
            <v>0</v>
          </cell>
          <cell r="AD387">
            <v>0</v>
          </cell>
          <cell r="AE387">
            <v>0</v>
          </cell>
          <cell r="AH387">
            <v>0</v>
          </cell>
          <cell r="AI387">
            <v>0</v>
          </cell>
          <cell r="AL387">
            <v>0</v>
          </cell>
          <cell r="AM387">
            <v>0</v>
          </cell>
          <cell r="AP387">
            <v>0</v>
          </cell>
          <cell r="AQ387">
            <v>0</v>
          </cell>
        </row>
        <row r="388">
          <cell r="V388">
            <v>0</v>
          </cell>
          <cell r="W388">
            <v>0</v>
          </cell>
          <cell r="Z388">
            <v>0</v>
          </cell>
          <cell r="AA388">
            <v>0</v>
          </cell>
          <cell r="AD388">
            <v>0</v>
          </cell>
          <cell r="AE388">
            <v>0</v>
          </cell>
          <cell r="AH388">
            <v>0</v>
          </cell>
          <cell r="AI388">
            <v>0</v>
          </cell>
          <cell r="AL388">
            <v>0</v>
          </cell>
          <cell r="AM388">
            <v>0</v>
          </cell>
          <cell r="AP388">
            <v>0</v>
          </cell>
          <cell r="AQ388">
            <v>0</v>
          </cell>
        </row>
        <row r="389">
          <cell r="V389">
            <v>0</v>
          </cell>
          <cell r="W389">
            <v>0</v>
          </cell>
          <cell r="Z389">
            <v>0</v>
          </cell>
          <cell r="AA389">
            <v>0</v>
          </cell>
          <cell r="AD389">
            <v>0</v>
          </cell>
          <cell r="AE389">
            <v>0</v>
          </cell>
          <cell r="AH389">
            <v>0</v>
          </cell>
          <cell r="AI389">
            <v>0</v>
          </cell>
          <cell r="AL389">
            <v>0</v>
          </cell>
          <cell r="AM389">
            <v>0</v>
          </cell>
          <cell r="AP389">
            <v>0</v>
          </cell>
          <cell r="AQ389">
            <v>0</v>
          </cell>
        </row>
        <row r="390">
          <cell r="V390">
            <v>0</v>
          </cell>
          <cell r="W390">
            <v>0</v>
          </cell>
          <cell r="Z390">
            <v>0</v>
          </cell>
          <cell r="AA390">
            <v>0</v>
          </cell>
          <cell r="AD390">
            <v>0</v>
          </cell>
          <cell r="AE390">
            <v>0</v>
          </cell>
          <cell r="AH390">
            <v>0</v>
          </cell>
          <cell r="AI390">
            <v>0</v>
          </cell>
          <cell r="AL390">
            <v>0</v>
          </cell>
          <cell r="AM390">
            <v>0</v>
          </cell>
          <cell r="AP390">
            <v>0</v>
          </cell>
          <cell r="AQ390">
            <v>0</v>
          </cell>
        </row>
        <row r="391">
          <cell r="V391">
            <v>0</v>
          </cell>
          <cell r="W391">
            <v>0</v>
          </cell>
          <cell r="Z391">
            <v>0</v>
          </cell>
          <cell r="AA391">
            <v>0</v>
          </cell>
          <cell r="AD391">
            <v>0</v>
          </cell>
          <cell r="AE391">
            <v>0</v>
          </cell>
          <cell r="AH391">
            <v>0</v>
          </cell>
          <cell r="AI391">
            <v>0</v>
          </cell>
          <cell r="AL391">
            <v>0</v>
          </cell>
          <cell r="AM391">
            <v>0</v>
          </cell>
          <cell r="AP391">
            <v>0</v>
          </cell>
          <cell r="AQ391">
            <v>0</v>
          </cell>
        </row>
        <row r="392">
          <cell r="V392">
            <v>0</v>
          </cell>
          <cell r="W392">
            <v>0</v>
          </cell>
          <cell r="Z392">
            <v>0</v>
          </cell>
          <cell r="AA392">
            <v>0</v>
          </cell>
          <cell r="AD392">
            <v>0</v>
          </cell>
          <cell r="AE392">
            <v>0</v>
          </cell>
          <cell r="AH392">
            <v>0</v>
          </cell>
          <cell r="AI392">
            <v>0</v>
          </cell>
          <cell r="AL392">
            <v>0</v>
          </cell>
          <cell r="AM392">
            <v>0</v>
          </cell>
          <cell r="AP392">
            <v>0</v>
          </cell>
          <cell r="AQ392">
            <v>0</v>
          </cell>
        </row>
        <row r="393">
          <cell r="V393">
            <v>0</v>
          </cell>
          <cell r="W393">
            <v>0</v>
          </cell>
          <cell r="Z393">
            <v>0</v>
          </cell>
          <cell r="AA393">
            <v>0</v>
          </cell>
          <cell r="AD393">
            <v>0</v>
          </cell>
          <cell r="AE393">
            <v>0</v>
          </cell>
          <cell r="AH393">
            <v>0</v>
          </cell>
          <cell r="AI393">
            <v>0</v>
          </cell>
          <cell r="AL393">
            <v>0</v>
          </cell>
          <cell r="AM393">
            <v>0</v>
          </cell>
          <cell r="AP393">
            <v>0</v>
          </cell>
          <cell r="AQ393">
            <v>0</v>
          </cell>
        </row>
        <row r="394">
          <cell r="V394">
            <v>0</v>
          </cell>
          <cell r="W394">
            <v>0</v>
          </cell>
          <cell r="Z394">
            <v>0</v>
          </cell>
          <cell r="AA394">
            <v>0</v>
          </cell>
          <cell r="AD394">
            <v>0</v>
          </cell>
          <cell r="AE394">
            <v>0</v>
          </cell>
          <cell r="AH394">
            <v>0</v>
          </cell>
          <cell r="AI394">
            <v>0</v>
          </cell>
          <cell r="AL394">
            <v>0</v>
          </cell>
          <cell r="AM394">
            <v>0</v>
          </cell>
          <cell r="AP394">
            <v>0</v>
          </cell>
          <cell r="AQ394">
            <v>0</v>
          </cell>
        </row>
        <row r="395">
          <cell r="V395">
            <v>0</v>
          </cell>
          <cell r="W395">
            <v>0</v>
          </cell>
          <cell r="Z395">
            <v>0</v>
          </cell>
          <cell r="AA395">
            <v>0</v>
          </cell>
          <cell r="AD395">
            <v>0</v>
          </cell>
          <cell r="AE395">
            <v>0</v>
          </cell>
          <cell r="AH395">
            <v>0</v>
          </cell>
          <cell r="AI395">
            <v>0</v>
          </cell>
          <cell r="AL395">
            <v>0</v>
          </cell>
          <cell r="AM395">
            <v>0</v>
          </cell>
          <cell r="AP395">
            <v>0</v>
          </cell>
          <cell r="AQ395">
            <v>0</v>
          </cell>
        </row>
        <row r="396">
          <cell r="V396">
            <v>0</v>
          </cell>
          <cell r="W396">
            <v>0</v>
          </cell>
          <cell r="Z396">
            <v>0</v>
          </cell>
          <cell r="AA396">
            <v>0</v>
          </cell>
          <cell r="AD396">
            <v>0</v>
          </cell>
          <cell r="AE396">
            <v>0</v>
          </cell>
          <cell r="AH396">
            <v>0</v>
          </cell>
          <cell r="AI396">
            <v>0</v>
          </cell>
          <cell r="AL396">
            <v>0</v>
          </cell>
          <cell r="AM396">
            <v>0</v>
          </cell>
          <cell r="AP396">
            <v>0</v>
          </cell>
          <cell r="AQ396">
            <v>0</v>
          </cell>
        </row>
        <row r="397">
          <cell r="V397">
            <v>0</v>
          </cell>
          <cell r="W397">
            <v>0</v>
          </cell>
          <cell r="Z397">
            <v>0</v>
          </cell>
          <cell r="AA397">
            <v>0</v>
          </cell>
          <cell r="AD397">
            <v>0</v>
          </cell>
          <cell r="AE397">
            <v>0</v>
          </cell>
          <cell r="AH397">
            <v>0</v>
          </cell>
          <cell r="AI397">
            <v>0</v>
          </cell>
          <cell r="AL397">
            <v>0</v>
          </cell>
          <cell r="AM397">
            <v>0</v>
          </cell>
          <cell r="AP397">
            <v>0</v>
          </cell>
          <cell r="AQ397">
            <v>0</v>
          </cell>
        </row>
        <row r="398">
          <cell r="V398">
            <v>0</v>
          </cell>
          <cell r="W398">
            <v>0</v>
          </cell>
          <cell r="Z398">
            <v>0</v>
          </cell>
          <cell r="AA398">
            <v>0</v>
          </cell>
          <cell r="AD398">
            <v>0</v>
          </cell>
          <cell r="AE398">
            <v>0</v>
          </cell>
          <cell r="AH398">
            <v>0</v>
          </cell>
          <cell r="AI398">
            <v>0</v>
          </cell>
          <cell r="AL398">
            <v>0</v>
          </cell>
          <cell r="AM398">
            <v>0</v>
          </cell>
          <cell r="AP398">
            <v>0</v>
          </cell>
          <cell r="AQ398">
            <v>0</v>
          </cell>
        </row>
        <row r="399">
          <cell r="V399">
            <v>0</v>
          </cell>
          <cell r="W399">
            <v>0</v>
          </cell>
          <cell r="Z399">
            <v>0</v>
          </cell>
          <cell r="AA399">
            <v>0</v>
          </cell>
          <cell r="AD399">
            <v>0</v>
          </cell>
          <cell r="AE399">
            <v>0</v>
          </cell>
          <cell r="AH399">
            <v>0</v>
          </cell>
          <cell r="AI399">
            <v>0</v>
          </cell>
          <cell r="AL399">
            <v>0</v>
          </cell>
          <cell r="AM399">
            <v>0</v>
          </cell>
          <cell r="AP399">
            <v>0</v>
          </cell>
          <cell r="AQ399">
            <v>0</v>
          </cell>
        </row>
        <row r="400">
          <cell r="V400">
            <v>0</v>
          </cell>
          <cell r="W400">
            <v>0</v>
          </cell>
          <cell r="Z400">
            <v>0</v>
          </cell>
          <cell r="AA400">
            <v>0</v>
          </cell>
          <cell r="AD400">
            <v>0</v>
          </cell>
          <cell r="AE400">
            <v>0</v>
          </cell>
          <cell r="AH400">
            <v>0</v>
          </cell>
          <cell r="AI400">
            <v>0</v>
          </cell>
          <cell r="AL400">
            <v>0</v>
          </cell>
          <cell r="AM400">
            <v>0</v>
          </cell>
          <cell r="AP400">
            <v>0</v>
          </cell>
          <cell r="AQ400">
            <v>0</v>
          </cell>
        </row>
        <row r="401">
          <cell r="V401">
            <v>0</v>
          </cell>
          <cell r="W401">
            <v>0</v>
          </cell>
          <cell r="Z401">
            <v>0</v>
          </cell>
          <cell r="AA401">
            <v>0</v>
          </cell>
          <cell r="AD401">
            <v>0</v>
          </cell>
          <cell r="AE401">
            <v>0</v>
          </cell>
          <cell r="AH401">
            <v>0</v>
          </cell>
          <cell r="AI401">
            <v>0</v>
          </cell>
          <cell r="AL401">
            <v>0</v>
          </cell>
          <cell r="AM401">
            <v>0</v>
          </cell>
          <cell r="AP401">
            <v>0</v>
          </cell>
          <cell r="AQ401">
            <v>0</v>
          </cell>
        </row>
        <row r="402">
          <cell r="V402">
            <v>0</v>
          </cell>
          <cell r="W402">
            <v>0</v>
          </cell>
          <cell r="Z402">
            <v>0</v>
          </cell>
          <cell r="AA402">
            <v>0</v>
          </cell>
          <cell r="AD402">
            <v>0</v>
          </cell>
          <cell r="AE402">
            <v>0</v>
          </cell>
          <cell r="AH402">
            <v>0</v>
          </cell>
          <cell r="AI402">
            <v>0</v>
          </cell>
          <cell r="AL402">
            <v>0</v>
          </cell>
          <cell r="AM402">
            <v>0</v>
          </cell>
          <cell r="AP402">
            <v>0</v>
          </cell>
          <cell r="AQ402">
            <v>0</v>
          </cell>
        </row>
        <row r="403">
          <cell r="V403">
            <v>0</v>
          </cell>
          <cell r="W403">
            <v>0</v>
          </cell>
          <cell r="Z403">
            <v>0</v>
          </cell>
          <cell r="AA403">
            <v>0</v>
          </cell>
          <cell r="AD403">
            <v>0</v>
          </cell>
          <cell r="AE403">
            <v>0</v>
          </cell>
          <cell r="AH403">
            <v>0</v>
          </cell>
          <cell r="AI403">
            <v>0</v>
          </cell>
          <cell r="AL403">
            <v>0</v>
          </cell>
          <cell r="AM403">
            <v>0</v>
          </cell>
          <cell r="AP403">
            <v>0</v>
          </cell>
          <cell r="AQ403">
            <v>0</v>
          </cell>
        </row>
        <row r="404">
          <cell r="V404">
            <v>0</v>
          </cell>
          <cell r="W404">
            <v>0</v>
          </cell>
          <cell r="Z404">
            <v>0</v>
          </cell>
          <cell r="AA404">
            <v>0</v>
          </cell>
          <cell r="AD404">
            <v>0</v>
          </cell>
          <cell r="AE404">
            <v>0</v>
          </cell>
          <cell r="AH404">
            <v>0</v>
          </cell>
          <cell r="AI404">
            <v>0</v>
          </cell>
          <cell r="AL404">
            <v>0</v>
          </cell>
          <cell r="AM404">
            <v>0</v>
          </cell>
          <cell r="AP404">
            <v>0</v>
          </cell>
          <cell r="AQ404">
            <v>0</v>
          </cell>
        </row>
        <row r="405">
          <cell r="V405">
            <v>0</v>
          </cell>
          <cell r="W405">
            <v>0</v>
          </cell>
          <cell r="Z405">
            <v>0</v>
          </cell>
          <cell r="AA405">
            <v>0</v>
          </cell>
          <cell r="AD405">
            <v>0</v>
          </cell>
          <cell r="AE405">
            <v>0</v>
          </cell>
          <cell r="AH405">
            <v>0</v>
          </cell>
          <cell r="AI405">
            <v>0</v>
          </cell>
          <cell r="AL405">
            <v>0</v>
          </cell>
          <cell r="AM405">
            <v>0</v>
          </cell>
          <cell r="AP405">
            <v>0</v>
          </cell>
          <cell r="AQ405">
            <v>0</v>
          </cell>
        </row>
        <row r="406">
          <cell r="V406">
            <v>0</v>
          </cell>
          <cell r="W406">
            <v>0</v>
          </cell>
          <cell r="Z406">
            <v>0</v>
          </cell>
          <cell r="AA406">
            <v>0</v>
          </cell>
          <cell r="AD406">
            <v>0</v>
          </cell>
          <cell r="AE406">
            <v>0</v>
          </cell>
          <cell r="AH406">
            <v>0</v>
          </cell>
          <cell r="AI406">
            <v>0</v>
          </cell>
          <cell r="AL406">
            <v>0</v>
          </cell>
          <cell r="AM406">
            <v>0</v>
          </cell>
          <cell r="AP406">
            <v>0</v>
          </cell>
          <cell r="AQ406">
            <v>0</v>
          </cell>
        </row>
        <row r="407">
          <cell r="V407">
            <v>0</v>
          </cell>
          <cell r="W407">
            <v>0</v>
          </cell>
          <cell r="Z407">
            <v>0</v>
          </cell>
          <cell r="AA407">
            <v>0</v>
          </cell>
          <cell r="AD407">
            <v>0</v>
          </cell>
          <cell r="AE407">
            <v>0</v>
          </cell>
          <cell r="AH407">
            <v>0</v>
          </cell>
          <cell r="AI407">
            <v>0</v>
          </cell>
          <cell r="AL407">
            <v>0</v>
          </cell>
          <cell r="AM407">
            <v>0</v>
          </cell>
          <cell r="AP407">
            <v>0</v>
          </cell>
          <cell r="AQ407">
            <v>0</v>
          </cell>
        </row>
        <row r="408">
          <cell r="V408">
            <v>0</v>
          </cell>
          <cell r="W408">
            <v>0</v>
          </cell>
          <cell r="Z408">
            <v>0</v>
          </cell>
          <cell r="AA408">
            <v>0</v>
          </cell>
          <cell r="AD408">
            <v>0</v>
          </cell>
          <cell r="AE408">
            <v>0</v>
          </cell>
          <cell r="AH408">
            <v>0</v>
          </cell>
          <cell r="AI408">
            <v>0</v>
          </cell>
          <cell r="AL408">
            <v>0</v>
          </cell>
          <cell r="AM408">
            <v>0</v>
          </cell>
          <cell r="AP408">
            <v>0</v>
          </cell>
          <cell r="AQ408">
            <v>0</v>
          </cell>
        </row>
        <row r="409">
          <cell r="V409">
            <v>0</v>
          </cell>
          <cell r="W409">
            <v>0</v>
          </cell>
          <cell r="Z409">
            <v>0</v>
          </cell>
          <cell r="AA409">
            <v>0</v>
          </cell>
          <cell r="AD409">
            <v>0</v>
          </cell>
          <cell r="AE409">
            <v>0</v>
          </cell>
          <cell r="AH409">
            <v>0</v>
          </cell>
          <cell r="AI409">
            <v>0</v>
          </cell>
          <cell r="AL409">
            <v>0</v>
          </cell>
          <cell r="AM409">
            <v>0</v>
          </cell>
          <cell r="AP409">
            <v>0</v>
          </cell>
          <cell r="AQ409">
            <v>0</v>
          </cell>
        </row>
        <row r="410">
          <cell r="V410">
            <v>0</v>
          </cell>
          <cell r="W410">
            <v>0</v>
          </cell>
          <cell r="Z410">
            <v>0</v>
          </cell>
          <cell r="AA410">
            <v>0</v>
          </cell>
          <cell r="AD410">
            <v>0</v>
          </cell>
          <cell r="AE410">
            <v>0</v>
          </cell>
          <cell r="AH410">
            <v>0</v>
          </cell>
          <cell r="AI410">
            <v>0</v>
          </cell>
          <cell r="AL410">
            <v>0</v>
          </cell>
          <cell r="AM410">
            <v>0</v>
          </cell>
          <cell r="AP410">
            <v>0</v>
          </cell>
          <cell r="AQ410">
            <v>0</v>
          </cell>
        </row>
        <row r="411">
          <cell r="V411">
            <v>0</v>
          </cell>
          <cell r="W411">
            <v>0</v>
          </cell>
          <cell r="Z411">
            <v>0</v>
          </cell>
          <cell r="AA411">
            <v>0</v>
          </cell>
          <cell r="AD411">
            <v>0</v>
          </cell>
          <cell r="AE411">
            <v>0</v>
          </cell>
          <cell r="AH411">
            <v>0</v>
          </cell>
          <cell r="AI411">
            <v>0</v>
          </cell>
          <cell r="AL411">
            <v>0</v>
          </cell>
          <cell r="AM411">
            <v>0</v>
          </cell>
          <cell r="AP411">
            <v>0</v>
          </cell>
          <cell r="AQ411">
            <v>0</v>
          </cell>
        </row>
        <row r="412">
          <cell r="V412">
            <v>0</v>
          </cell>
          <cell r="W412">
            <v>0</v>
          </cell>
          <cell r="Z412">
            <v>0</v>
          </cell>
          <cell r="AA412">
            <v>0</v>
          </cell>
          <cell r="AD412">
            <v>0</v>
          </cell>
          <cell r="AE412">
            <v>0</v>
          </cell>
          <cell r="AH412">
            <v>0</v>
          </cell>
          <cell r="AI412">
            <v>0</v>
          </cell>
          <cell r="AL412">
            <v>0</v>
          </cell>
          <cell r="AM412">
            <v>0</v>
          </cell>
          <cell r="AP412">
            <v>0</v>
          </cell>
          <cell r="AQ412">
            <v>0</v>
          </cell>
        </row>
        <row r="413">
          <cell r="V413">
            <v>0</v>
          </cell>
          <cell r="W413">
            <v>0</v>
          </cell>
          <cell r="Z413">
            <v>0</v>
          </cell>
          <cell r="AA413">
            <v>0</v>
          </cell>
          <cell r="AD413">
            <v>0</v>
          </cell>
          <cell r="AE413">
            <v>0</v>
          </cell>
          <cell r="AH413">
            <v>0</v>
          </cell>
          <cell r="AI413">
            <v>0</v>
          </cell>
          <cell r="AL413">
            <v>0</v>
          </cell>
          <cell r="AM413">
            <v>0</v>
          </cell>
          <cell r="AP413">
            <v>0</v>
          </cell>
          <cell r="AQ413">
            <v>0</v>
          </cell>
        </row>
        <row r="414">
          <cell r="V414">
            <v>0</v>
          </cell>
          <cell r="W414">
            <v>0</v>
          </cell>
          <cell r="Z414">
            <v>0</v>
          </cell>
          <cell r="AA414">
            <v>0</v>
          </cell>
          <cell r="AD414">
            <v>0</v>
          </cell>
          <cell r="AE414">
            <v>0</v>
          </cell>
          <cell r="AH414">
            <v>0</v>
          </cell>
          <cell r="AI414">
            <v>0</v>
          </cell>
          <cell r="AL414">
            <v>0</v>
          </cell>
          <cell r="AM414">
            <v>0</v>
          </cell>
          <cell r="AP414">
            <v>0</v>
          </cell>
          <cell r="AQ414">
            <v>0</v>
          </cell>
        </row>
        <row r="415">
          <cell r="V415">
            <v>0</v>
          </cell>
          <cell r="W415">
            <v>0</v>
          </cell>
          <cell r="Z415">
            <v>0</v>
          </cell>
          <cell r="AA415">
            <v>0</v>
          </cell>
          <cell r="AD415">
            <v>0</v>
          </cell>
          <cell r="AE415">
            <v>0</v>
          </cell>
          <cell r="AH415">
            <v>0</v>
          </cell>
          <cell r="AI415">
            <v>0</v>
          </cell>
          <cell r="AL415">
            <v>0</v>
          </cell>
          <cell r="AM415">
            <v>0</v>
          </cell>
          <cell r="AP415">
            <v>0</v>
          </cell>
          <cell r="AQ415">
            <v>0</v>
          </cell>
        </row>
        <row r="416">
          <cell r="V416">
            <v>0</v>
          </cell>
          <cell r="W416">
            <v>0</v>
          </cell>
          <cell r="Z416">
            <v>0</v>
          </cell>
          <cell r="AA416">
            <v>0</v>
          </cell>
          <cell r="AD416">
            <v>0</v>
          </cell>
          <cell r="AE416">
            <v>0</v>
          </cell>
          <cell r="AH416">
            <v>0</v>
          </cell>
          <cell r="AI416">
            <v>0</v>
          </cell>
          <cell r="AL416">
            <v>0</v>
          </cell>
          <cell r="AM416">
            <v>0</v>
          </cell>
          <cell r="AP416">
            <v>0</v>
          </cell>
          <cell r="AQ416">
            <v>0</v>
          </cell>
        </row>
        <row r="417">
          <cell r="V417">
            <v>0</v>
          </cell>
          <cell r="W417">
            <v>0</v>
          </cell>
          <cell r="Z417">
            <v>0</v>
          </cell>
          <cell r="AA417">
            <v>0</v>
          </cell>
          <cell r="AD417">
            <v>0</v>
          </cell>
          <cell r="AE417">
            <v>0</v>
          </cell>
          <cell r="AH417">
            <v>0</v>
          </cell>
          <cell r="AI417">
            <v>0</v>
          </cell>
          <cell r="AL417">
            <v>0</v>
          </cell>
          <cell r="AM417">
            <v>0</v>
          </cell>
          <cell r="AP417">
            <v>0</v>
          </cell>
          <cell r="AQ417">
            <v>0</v>
          </cell>
        </row>
        <row r="418">
          <cell r="V418">
            <v>0</v>
          </cell>
          <cell r="W418">
            <v>0</v>
          </cell>
          <cell r="Z418">
            <v>0</v>
          </cell>
          <cell r="AA418">
            <v>0</v>
          </cell>
          <cell r="AD418">
            <v>0</v>
          </cell>
          <cell r="AE418">
            <v>0</v>
          </cell>
          <cell r="AH418">
            <v>0</v>
          </cell>
          <cell r="AI418">
            <v>0</v>
          </cell>
          <cell r="AL418">
            <v>0</v>
          </cell>
          <cell r="AM418">
            <v>0</v>
          </cell>
          <cell r="AP418">
            <v>0</v>
          </cell>
          <cell r="AQ418">
            <v>0</v>
          </cell>
        </row>
        <row r="419">
          <cell r="V419">
            <v>0</v>
          </cell>
          <cell r="W419">
            <v>0</v>
          </cell>
          <cell r="Z419">
            <v>0</v>
          </cell>
          <cell r="AA419">
            <v>0</v>
          </cell>
          <cell r="AD419">
            <v>0</v>
          </cell>
          <cell r="AE419">
            <v>0</v>
          </cell>
          <cell r="AH419">
            <v>0</v>
          </cell>
          <cell r="AI419">
            <v>0</v>
          </cell>
          <cell r="AL419">
            <v>0</v>
          </cell>
          <cell r="AM419">
            <v>0</v>
          </cell>
          <cell r="AP419">
            <v>0</v>
          </cell>
          <cell r="AQ419">
            <v>0</v>
          </cell>
        </row>
        <row r="420">
          <cell r="V420">
            <v>0</v>
          </cell>
          <cell r="W420">
            <v>0</v>
          </cell>
          <cell r="Z420">
            <v>0</v>
          </cell>
          <cell r="AA420">
            <v>0</v>
          </cell>
          <cell r="AD420">
            <v>0</v>
          </cell>
          <cell r="AE420">
            <v>0</v>
          </cell>
          <cell r="AH420">
            <v>0</v>
          </cell>
          <cell r="AI420">
            <v>0</v>
          </cell>
          <cell r="AL420">
            <v>0</v>
          </cell>
          <cell r="AM420">
            <v>0</v>
          </cell>
          <cell r="AP420">
            <v>0</v>
          </cell>
          <cell r="AQ420">
            <v>0</v>
          </cell>
        </row>
        <row r="421">
          <cell r="V421">
            <v>0</v>
          </cell>
          <cell r="W421">
            <v>0</v>
          </cell>
          <cell r="Z421">
            <v>0</v>
          </cell>
          <cell r="AA421">
            <v>0</v>
          </cell>
          <cell r="AD421">
            <v>0</v>
          </cell>
          <cell r="AE421">
            <v>0</v>
          </cell>
          <cell r="AH421">
            <v>0</v>
          </cell>
          <cell r="AI421">
            <v>0</v>
          </cell>
          <cell r="AL421">
            <v>0</v>
          </cell>
          <cell r="AM421">
            <v>0</v>
          </cell>
          <cell r="AP421">
            <v>0</v>
          </cell>
          <cell r="AQ421">
            <v>0</v>
          </cell>
        </row>
        <row r="422">
          <cell r="V422">
            <v>0</v>
          </cell>
          <cell r="W422">
            <v>0</v>
          </cell>
          <cell r="Z422">
            <v>0</v>
          </cell>
          <cell r="AA422">
            <v>0</v>
          </cell>
          <cell r="AD422">
            <v>0</v>
          </cell>
          <cell r="AE422">
            <v>0</v>
          </cell>
          <cell r="AH422">
            <v>0</v>
          </cell>
          <cell r="AI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</row>
        <row r="423">
          <cell r="V423">
            <v>0</v>
          </cell>
          <cell r="W423">
            <v>0</v>
          </cell>
          <cell r="Z423">
            <v>0</v>
          </cell>
          <cell r="AA423">
            <v>0</v>
          </cell>
          <cell r="AD423">
            <v>0</v>
          </cell>
          <cell r="AE423">
            <v>0</v>
          </cell>
          <cell r="AH423">
            <v>0</v>
          </cell>
          <cell r="AI423">
            <v>0</v>
          </cell>
          <cell r="AL423">
            <v>0</v>
          </cell>
          <cell r="AM423">
            <v>0</v>
          </cell>
          <cell r="AP423">
            <v>0</v>
          </cell>
          <cell r="AQ423">
            <v>0</v>
          </cell>
        </row>
        <row r="424">
          <cell r="V424">
            <v>0</v>
          </cell>
          <cell r="W424">
            <v>0</v>
          </cell>
          <cell r="Z424">
            <v>0</v>
          </cell>
          <cell r="AA424">
            <v>0</v>
          </cell>
          <cell r="AD424">
            <v>0</v>
          </cell>
          <cell r="AE424">
            <v>0</v>
          </cell>
          <cell r="AH424">
            <v>0</v>
          </cell>
          <cell r="AI424">
            <v>0</v>
          </cell>
          <cell r="AL424">
            <v>0</v>
          </cell>
          <cell r="AM424">
            <v>0</v>
          </cell>
          <cell r="AP424">
            <v>0</v>
          </cell>
          <cell r="AQ424">
            <v>0</v>
          </cell>
        </row>
        <row r="425">
          <cell r="V425">
            <v>0</v>
          </cell>
          <cell r="W425">
            <v>0</v>
          </cell>
          <cell r="Z425">
            <v>0</v>
          </cell>
          <cell r="AA425">
            <v>0</v>
          </cell>
          <cell r="AD425">
            <v>0</v>
          </cell>
          <cell r="AE425">
            <v>0</v>
          </cell>
          <cell r="AH425">
            <v>0</v>
          </cell>
          <cell r="AI425">
            <v>0</v>
          </cell>
          <cell r="AL425">
            <v>0</v>
          </cell>
          <cell r="AM425">
            <v>0</v>
          </cell>
          <cell r="AP425">
            <v>0</v>
          </cell>
          <cell r="AQ425">
            <v>0</v>
          </cell>
        </row>
        <row r="426">
          <cell r="V426">
            <v>0</v>
          </cell>
          <cell r="W426">
            <v>0</v>
          </cell>
          <cell r="Z426">
            <v>0</v>
          </cell>
          <cell r="AA426">
            <v>0</v>
          </cell>
          <cell r="AD426">
            <v>0</v>
          </cell>
          <cell r="AE426">
            <v>0</v>
          </cell>
          <cell r="AH426">
            <v>0</v>
          </cell>
          <cell r="AI426">
            <v>0</v>
          </cell>
          <cell r="AL426">
            <v>0</v>
          </cell>
          <cell r="AM426">
            <v>0</v>
          </cell>
          <cell r="AP426">
            <v>0</v>
          </cell>
          <cell r="AQ426">
            <v>0</v>
          </cell>
        </row>
        <row r="427">
          <cell r="V427">
            <v>0</v>
          </cell>
          <cell r="W427">
            <v>0</v>
          </cell>
          <cell r="Z427">
            <v>0</v>
          </cell>
          <cell r="AA427">
            <v>0</v>
          </cell>
          <cell r="AD427">
            <v>0</v>
          </cell>
          <cell r="AE427">
            <v>0</v>
          </cell>
          <cell r="AH427">
            <v>0</v>
          </cell>
          <cell r="AI427">
            <v>0</v>
          </cell>
          <cell r="AL427">
            <v>0</v>
          </cell>
          <cell r="AM427">
            <v>0</v>
          </cell>
          <cell r="AP427">
            <v>0</v>
          </cell>
          <cell r="AQ427">
            <v>0</v>
          </cell>
        </row>
        <row r="428">
          <cell r="V428">
            <v>0.23118724894488871</v>
          </cell>
          <cell r="W428">
            <v>0.34279488636655908</v>
          </cell>
          <cell r="Z428">
            <v>0.29358540654029308</v>
          </cell>
          <cell r="AA428">
            <v>0.43531629245629661</v>
          </cell>
          <cell r="AD428">
            <v>0.44387318729042879</v>
          </cell>
          <cell r="AE428">
            <v>0.65815679494787716</v>
          </cell>
          <cell r="AH428">
            <v>0.48055661993410853</v>
          </cell>
          <cell r="AI428">
            <v>0.71254947093678167</v>
          </cell>
          <cell r="AL428">
            <v>0.57961142122805043</v>
          </cell>
          <cell r="AM428">
            <v>0.85942383147607482</v>
          </cell>
          <cell r="AP428">
            <v>0.61366857102721406</v>
          </cell>
          <cell r="AQ428">
            <v>0.90992236393690362</v>
          </cell>
        </row>
        <row r="429">
          <cell r="V429">
            <v>0</v>
          </cell>
          <cell r="W429">
            <v>0</v>
          </cell>
          <cell r="Z429">
            <v>0</v>
          </cell>
          <cell r="AA429">
            <v>0</v>
          </cell>
          <cell r="AD429">
            <v>0</v>
          </cell>
          <cell r="AE429">
            <v>0</v>
          </cell>
          <cell r="AH429">
            <v>0</v>
          </cell>
          <cell r="AI429">
            <v>0</v>
          </cell>
          <cell r="AL429">
            <v>0</v>
          </cell>
          <cell r="AM429">
            <v>0</v>
          </cell>
          <cell r="AP429">
            <v>0</v>
          </cell>
          <cell r="AQ429">
            <v>0</v>
          </cell>
        </row>
        <row r="430">
          <cell r="V430">
            <v>0</v>
          </cell>
          <cell r="W430">
            <v>0</v>
          </cell>
          <cell r="Z430">
            <v>0</v>
          </cell>
          <cell r="AA430">
            <v>0</v>
          </cell>
          <cell r="AD430">
            <v>0</v>
          </cell>
          <cell r="AE430">
            <v>0</v>
          </cell>
          <cell r="AH430">
            <v>0</v>
          </cell>
          <cell r="AI430">
            <v>0</v>
          </cell>
          <cell r="AL430">
            <v>0</v>
          </cell>
          <cell r="AM430">
            <v>0</v>
          </cell>
          <cell r="AP430">
            <v>0</v>
          </cell>
          <cell r="AQ430">
            <v>0</v>
          </cell>
        </row>
        <row r="431">
          <cell r="V431">
            <v>0</v>
          </cell>
          <cell r="W431">
            <v>0</v>
          </cell>
          <cell r="Z431">
            <v>0</v>
          </cell>
          <cell r="AA431">
            <v>0</v>
          </cell>
          <cell r="AD431">
            <v>0</v>
          </cell>
          <cell r="AE431">
            <v>0</v>
          </cell>
          <cell r="AH431">
            <v>0</v>
          </cell>
          <cell r="AI431">
            <v>0</v>
          </cell>
          <cell r="AL431">
            <v>0</v>
          </cell>
          <cell r="AM431">
            <v>0</v>
          </cell>
          <cell r="AP431">
            <v>0</v>
          </cell>
          <cell r="AQ431">
            <v>0</v>
          </cell>
        </row>
        <row r="432">
          <cell r="V432">
            <v>0</v>
          </cell>
          <cell r="W432">
            <v>0</v>
          </cell>
          <cell r="Z432">
            <v>0</v>
          </cell>
          <cell r="AA432">
            <v>0</v>
          </cell>
          <cell r="AD432">
            <v>0</v>
          </cell>
          <cell r="AE432">
            <v>0</v>
          </cell>
          <cell r="AH432">
            <v>0</v>
          </cell>
          <cell r="AI432">
            <v>0</v>
          </cell>
          <cell r="AL432">
            <v>0</v>
          </cell>
          <cell r="AM432">
            <v>0</v>
          </cell>
          <cell r="AP432">
            <v>0</v>
          </cell>
          <cell r="AQ432">
            <v>0</v>
          </cell>
        </row>
        <row r="433">
          <cell r="V433">
            <v>0</v>
          </cell>
          <cell r="W433">
            <v>0</v>
          </cell>
          <cell r="Z433">
            <v>0</v>
          </cell>
          <cell r="AA433">
            <v>0</v>
          </cell>
          <cell r="AD433">
            <v>0</v>
          </cell>
          <cell r="AE433">
            <v>0</v>
          </cell>
          <cell r="AH433">
            <v>0</v>
          </cell>
          <cell r="AI433">
            <v>0</v>
          </cell>
          <cell r="AL433">
            <v>0</v>
          </cell>
          <cell r="AM433">
            <v>0</v>
          </cell>
          <cell r="AP433">
            <v>0</v>
          </cell>
          <cell r="AQ433">
            <v>0</v>
          </cell>
        </row>
        <row r="434">
          <cell r="V434">
            <v>0</v>
          </cell>
          <cell r="W434">
            <v>0</v>
          </cell>
          <cell r="Z434">
            <v>0</v>
          </cell>
          <cell r="AA434">
            <v>0</v>
          </cell>
          <cell r="AD434">
            <v>0</v>
          </cell>
          <cell r="AE434">
            <v>0</v>
          </cell>
          <cell r="AH434">
            <v>0</v>
          </cell>
          <cell r="AI434">
            <v>0</v>
          </cell>
          <cell r="AL434">
            <v>0</v>
          </cell>
          <cell r="AM434">
            <v>0</v>
          </cell>
          <cell r="AP434">
            <v>0</v>
          </cell>
          <cell r="AQ434">
            <v>0</v>
          </cell>
        </row>
        <row r="435">
          <cell r="V435">
            <v>0</v>
          </cell>
          <cell r="W435">
            <v>0</v>
          </cell>
          <cell r="Z435">
            <v>0</v>
          </cell>
          <cell r="AA435">
            <v>0</v>
          </cell>
          <cell r="AD435">
            <v>0</v>
          </cell>
          <cell r="AE435">
            <v>0</v>
          </cell>
          <cell r="AH435">
            <v>0</v>
          </cell>
          <cell r="AI435">
            <v>0</v>
          </cell>
          <cell r="AL435">
            <v>0</v>
          </cell>
          <cell r="AM435">
            <v>0</v>
          </cell>
          <cell r="AP435">
            <v>0</v>
          </cell>
          <cell r="AQ435">
            <v>0</v>
          </cell>
        </row>
        <row r="436">
          <cell r="V436">
            <v>0</v>
          </cell>
          <cell r="W436">
            <v>0</v>
          </cell>
          <cell r="Z436">
            <v>0</v>
          </cell>
          <cell r="AA436">
            <v>0</v>
          </cell>
          <cell r="AD436">
            <v>0</v>
          </cell>
          <cell r="AE436">
            <v>0</v>
          </cell>
          <cell r="AH436">
            <v>0</v>
          </cell>
          <cell r="AI436">
            <v>0</v>
          </cell>
          <cell r="AL436">
            <v>0</v>
          </cell>
          <cell r="AM436">
            <v>0</v>
          </cell>
          <cell r="AP436">
            <v>0</v>
          </cell>
          <cell r="AQ436">
            <v>0</v>
          </cell>
        </row>
        <row r="437">
          <cell r="V437">
            <v>0</v>
          </cell>
          <cell r="W437">
            <v>0</v>
          </cell>
          <cell r="Z437">
            <v>0</v>
          </cell>
          <cell r="AA437">
            <v>0</v>
          </cell>
          <cell r="AD437">
            <v>0</v>
          </cell>
          <cell r="AE437">
            <v>0</v>
          </cell>
          <cell r="AH437">
            <v>0</v>
          </cell>
          <cell r="AI437">
            <v>0</v>
          </cell>
          <cell r="AL437">
            <v>0</v>
          </cell>
          <cell r="AM437">
            <v>0</v>
          </cell>
          <cell r="AP437">
            <v>0</v>
          </cell>
          <cell r="AQ437">
            <v>0</v>
          </cell>
        </row>
        <row r="438">
          <cell r="V438">
            <v>0</v>
          </cell>
          <cell r="W438">
            <v>0</v>
          </cell>
          <cell r="Z438">
            <v>0</v>
          </cell>
          <cell r="AA438">
            <v>0</v>
          </cell>
          <cell r="AD438">
            <v>0</v>
          </cell>
          <cell r="AE438">
            <v>0</v>
          </cell>
          <cell r="AH438">
            <v>0</v>
          </cell>
          <cell r="AI438">
            <v>0</v>
          </cell>
          <cell r="AL438">
            <v>0</v>
          </cell>
          <cell r="AM438">
            <v>0</v>
          </cell>
          <cell r="AP438">
            <v>0</v>
          </cell>
          <cell r="AQ438">
            <v>0</v>
          </cell>
        </row>
        <row r="439">
          <cell r="V439">
            <v>0</v>
          </cell>
          <cell r="W439">
            <v>0</v>
          </cell>
          <cell r="Z439">
            <v>0</v>
          </cell>
          <cell r="AA439">
            <v>0</v>
          </cell>
          <cell r="AD439">
            <v>0</v>
          </cell>
          <cell r="AE439">
            <v>0</v>
          </cell>
          <cell r="AH439">
            <v>0</v>
          </cell>
          <cell r="AI439">
            <v>0</v>
          </cell>
          <cell r="AL439">
            <v>0</v>
          </cell>
          <cell r="AM439">
            <v>0</v>
          </cell>
          <cell r="AP439">
            <v>0</v>
          </cell>
          <cell r="AQ439">
            <v>0</v>
          </cell>
        </row>
        <row r="440">
          <cell r="V440">
            <v>0</v>
          </cell>
          <cell r="W440">
            <v>0</v>
          </cell>
          <cell r="Z440">
            <v>0</v>
          </cell>
          <cell r="AA440">
            <v>0</v>
          </cell>
          <cell r="AD440">
            <v>0</v>
          </cell>
          <cell r="AE440">
            <v>0</v>
          </cell>
          <cell r="AH440">
            <v>0</v>
          </cell>
          <cell r="AI440">
            <v>0</v>
          </cell>
          <cell r="AL440">
            <v>0</v>
          </cell>
          <cell r="AM440">
            <v>0</v>
          </cell>
          <cell r="AP440">
            <v>0</v>
          </cell>
          <cell r="AQ440">
            <v>0</v>
          </cell>
        </row>
        <row r="441">
          <cell r="V441">
            <v>0</v>
          </cell>
          <cell r="W441">
            <v>0</v>
          </cell>
          <cell r="Z441">
            <v>0</v>
          </cell>
          <cell r="AA441">
            <v>0</v>
          </cell>
          <cell r="AD441">
            <v>0</v>
          </cell>
          <cell r="AE441">
            <v>0</v>
          </cell>
          <cell r="AH441">
            <v>0</v>
          </cell>
          <cell r="AI441">
            <v>0</v>
          </cell>
          <cell r="AL441">
            <v>0</v>
          </cell>
          <cell r="AM441">
            <v>0</v>
          </cell>
          <cell r="AP441">
            <v>0</v>
          </cell>
          <cell r="AQ441">
            <v>0</v>
          </cell>
        </row>
        <row r="442">
          <cell r="V442">
            <v>0</v>
          </cell>
          <cell r="W442">
            <v>0</v>
          </cell>
          <cell r="Z442">
            <v>0</v>
          </cell>
          <cell r="AA442">
            <v>0</v>
          </cell>
          <cell r="AD442">
            <v>0</v>
          </cell>
          <cell r="AE442">
            <v>0</v>
          </cell>
          <cell r="AH442">
            <v>0</v>
          </cell>
          <cell r="AI442">
            <v>0</v>
          </cell>
          <cell r="AL442">
            <v>0</v>
          </cell>
          <cell r="AM442">
            <v>0</v>
          </cell>
          <cell r="AP442">
            <v>0</v>
          </cell>
          <cell r="AQ442">
            <v>0</v>
          </cell>
        </row>
        <row r="443">
          <cell r="V443">
            <v>0</v>
          </cell>
          <cell r="W443">
            <v>0</v>
          </cell>
          <cell r="Z443">
            <v>0</v>
          </cell>
          <cell r="AA443">
            <v>0</v>
          </cell>
          <cell r="AD443">
            <v>0</v>
          </cell>
          <cell r="AE443">
            <v>0</v>
          </cell>
          <cell r="AH443">
            <v>0</v>
          </cell>
          <cell r="AI443">
            <v>0</v>
          </cell>
          <cell r="AL443">
            <v>0</v>
          </cell>
          <cell r="AM443">
            <v>0</v>
          </cell>
          <cell r="AP443">
            <v>0</v>
          </cell>
          <cell r="AQ443">
            <v>0</v>
          </cell>
        </row>
        <row r="444">
          <cell r="V444">
            <v>0</v>
          </cell>
          <cell r="W444">
            <v>0</v>
          </cell>
          <cell r="Z444">
            <v>0</v>
          </cell>
          <cell r="AA444">
            <v>0</v>
          </cell>
          <cell r="AD444">
            <v>0</v>
          </cell>
          <cell r="AE444">
            <v>0</v>
          </cell>
          <cell r="AH444">
            <v>0</v>
          </cell>
          <cell r="AI444">
            <v>0</v>
          </cell>
          <cell r="AL444">
            <v>0</v>
          </cell>
          <cell r="AM444">
            <v>0</v>
          </cell>
          <cell r="AP444">
            <v>0</v>
          </cell>
          <cell r="AQ444">
            <v>0</v>
          </cell>
        </row>
        <row r="445">
          <cell r="V445">
            <v>0</v>
          </cell>
          <cell r="W445">
            <v>0</v>
          </cell>
          <cell r="Z445">
            <v>0</v>
          </cell>
          <cell r="AA445">
            <v>0</v>
          </cell>
          <cell r="AD445">
            <v>0</v>
          </cell>
          <cell r="AE445">
            <v>0</v>
          </cell>
          <cell r="AH445">
            <v>0</v>
          </cell>
          <cell r="AI445">
            <v>0</v>
          </cell>
          <cell r="AL445">
            <v>0</v>
          </cell>
          <cell r="AM445">
            <v>0</v>
          </cell>
          <cell r="AP445">
            <v>0</v>
          </cell>
          <cell r="AQ445">
            <v>0</v>
          </cell>
        </row>
        <row r="446">
          <cell r="V446">
            <v>0</v>
          </cell>
          <cell r="W446">
            <v>0</v>
          </cell>
          <cell r="Z446">
            <v>0</v>
          </cell>
          <cell r="AA446">
            <v>0</v>
          </cell>
          <cell r="AD446">
            <v>0</v>
          </cell>
          <cell r="AE446">
            <v>0</v>
          </cell>
          <cell r="AH446">
            <v>0</v>
          </cell>
          <cell r="AI446">
            <v>0</v>
          </cell>
          <cell r="AL446">
            <v>0</v>
          </cell>
          <cell r="AM446">
            <v>0</v>
          </cell>
          <cell r="AP446">
            <v>0</v>
          </cell>
          <cell r="AQ446">
            <v>0</v>
          </cell>
        </row>
        <row r="447">
          <cell r="V447">
            <v>0</v>
          </cell>
          <cell r="W447">
            <v>0</v>
          </cell>
          <cell r="Z447">
            <v>0</v>
          </cell>
          <cell r="AA447">
            <v>0</v>
          </cell>
          <cell r="AD447">
            <v>0</v>
          </cell>
          <cell r="AE447">
            <v>0</v>
          </cell>
          <cell r="AH447">
            <v>0</v>
          </cell>
          <cell r="AI447">
            <v>0</v>
          </cell>
          <cell r="AL447">
            <v>0</v>
          </cell>
          <cell r="AM447">
            <v>0</v>
          </cell>
          <cell r="AP447">
            <v>0</v>
          </cell>
          <cell r="AQ447">
            <v>0</v>
          </cell>
        </row>
        <row r="448">
          <cell r="V448">
            <v>0</v>
          </cell>
          <cell r="W448">
            <v>0</v>
          </cell>
          <cell r="Z448">
            <v>0</v>
          </cell>
          <cell r="AA448">
            <v>0</v>
          </cell>
          <cell r="AD448">
            <v>0</v>
          </cell>
          <cell r="AE448">
            <v>0</v>
          </cell>
          <cell r="AH448">
            <v>0</v>
          </cell>
          <cell r="AI448">
            <v>0</v>
          </cell>
          <cell r="AL448">
            <v>0</v>
          </cell>
          <cell r="AM448">
            <v>0</v>
          </cell>
          <cell r="AP448">
            <v>0</v>
          </cell>
          <cell r="AQ448">
            <v>0</v>
          </cell>
        </row>
        <row r="449">
          <cell r="V449">
            <v>0</v>
          </cell>
          <cell r="W449">
            <v>0</v>
          </cell>
          <cell r="Z449">
            <v>0</v>
          </cell>
          <cell r="AA449">
            <v>0</v>
          </cell>
          <cell r="AD449">
            <v>0</v>
          </cell>
          <cell r="AE449">
            <v>0</v>
          </cell>
          <cell r="AH449">
            <v>0</v>
          </cell>
          <cell r="AI449">
            <v>0</v>
          </cell>
          <cell r="AL449">
            <v>0</v>
          </cell>
          <cell r="AM449">
            <v>0</v>
          </cell>
          <cell r="AP449">
            <v>0</v>
          </cell>
          <cell r="AQ449">
            <v>0</v>
          </cell>
        </row>
        <row r="450">
          <cell r="V450">
            <v>0</v>
          </cell>
          <cell r="W450">
            <v>0</v>
          </cell>
          <cell r="Z450">
            <v>0</v>
          </cell>
          <cell r="AA450">
            <v>0</v>
          </cell>
          <cell r="AD450">
            <v>0</v>
          </cell>
          <cell r="AE450">
            <v>0</v>
          </cell>
          <cell r="AH450">
            <v>0</v>
          </cell>
          <cell r="AI450">
            <v>0</v>
          </cell>
          <cell r="AL450">
            <v>0</v>
          </cell>
          <cell r="AM450">
            <v>0</v>
          </cell>
          <cell r="AP450">
            <v>0</v>
          </cell>
          <cell r="AQ450">
            <v>0</v>
          </cell>
        </row>
        <row r="451">
          <cell r="V451">
            <v>0</v>
          </cell>
          <cell r="W451">
            <v>0</v>
          </cell>
          <cell r="Z451">
            <v>0</v>
          </cell>
          <cell r="AA451">
            <v>0</v>
          </cell>
          <cell r="AD451">
            <v>0</v>
          </cell>
          <cell r="AE451">
            <v>0</v>
          </cell>
          <cell r="AH451">
            <v>0</v>
          </cell>
          <cell r="AI451">
            <v>0</v>
          </cell>
          <cell r="AL451">
            <v>0</v>
          </cell>
          <cell r="AM451">
            <v>0</v>
          </cell>
          <cell r="AP451">
            <v>0</v>
          </cell>
          <cell r="AQ451">
            <v>0</v>
          </cell>
        </row>
        <row r="452">
          <cell r="V452">
            <v>0</v>
          </cell>
          <cell r="W452">
            <v>0</v>
          </cell>
          <cell r="Z452">
            <v>0</v>
          </cell>
          <cell r="AA452">
            <v>0</v>
          </cell>
          <cell r="AD452">
            <v>0</v>
          </cell>
          <cell r="AE452">
            <v>0</v>
          </cell>
          <cell r="AH452">
            <v>0</v>
          </cell>
          <cell r="AI452">
            <v>0</v>
          </cell>
          <cell r="AL452">
            <v>0</v>
          </cell>
          <cell r="AM452">
            <v>0</v>
          </cell>
          <cell r="AP452">
            <v>0</v>
          </cell>
          <cell r="AQ452">
            <v>0</v>
          </cell>
        </row>
        <row r="453">
          <cell r="V453">
            <v>0</v>
          </cell>
          <cell r="W453">
            <v>0</v>
          </cell>
          <cell r="Z453">
            <v>0</v>
          </cell>
          <cell r="AA453">
            <v>0</v>
          </cell>
          <cell r="AD453">
            <v>0</v>
          </cell>
          <cell r="AE453">
            <v>0</v>
          </cell>
          <cell r="AH453">
            <v>0</v>
          </cell>
          <cell r="AI453">
            <v>0</v>
          </cell>
          <cell r="AL453">
            <v>0</v>
          </cell>
          <cell r="AM453">
            <v>0</v>
          </cell>
          <cell r="AP453">
            <v>0</v>
          </cell>
          <cell r="AQ453">
            <v>0</v>
          </cell>
        </row>
        <row r="454">
          <cell r="V454">
            <v>0</v>
          </cell>
          <cell r="W454">
            <v>0</v>
          </cell>
          <cell r="Z454">
            <v>0</v>
          </cell>
          <cell r="AA454">
            <v>0</v>
          </cell>
          <cell r="AD454">
            <v>0</v>
          </cell>
          <cell r="AE454">
            <v>0</v>
          </cell>
          <cell r="AH454">
            <v>0</v>
          </cell>
          <cell r="AI454">
            <v>0</v>
          </cell>
          <cell r="AL454">
            <v>0</v>
          </cell>
          <cell r="AM454">
            <v>0</v>
          </cell>
          <cell r="AP454">
            <v>0</v>
          </cell>
          <cell r="AQ454">
            <v>0</v>
          </cell>
        </row>
        <row r="455">
          <cell r="V455">
            <v>0</v>
          </cell>
          <cell r="W455">
            <v>0</v>
          </cell>
          <cell r="Z455">
            <v>0</v>
          </cell>
          <cell r="AA455">
            <v>0</v>
          </cell>
          <cell r="AD455">
            <v>0</v>
          </cell>
          <cell r="AE455">
            <v>0</v>
          </cell>
          <cell r="AH455">
            <v>0</v>
          </cell>
          <cell r="AI455">
            <v>0</v>
          </cell>
          <cell r="AL455">
            <v>0</v>
          </cell>
          <cell r="AM455">
            <v>0</v>
          </cell>
          <cell r="AP455">
            <v>0</v>
          </cell>
          <cell r="AQ455">
            <v>0</v>
          </cell>
        </row>
        <row r="456">
          <cell r="V456">
            <v>0</v>
          </cell>
          <cell r="W456">
            <v>0</v>
          </cell>
          <cell r="Z456">
            <v>0</v>
          </cell>
          <cell r="AA456">
            <v>0</v>
          </cell>
          <cell r="AD456">
            <v>0</v>
          </cell>
          <cell r="AE456">
            <v>0</v>
          </cell>
          <cell r="AH456">
            <v>0</v>
          </cell>
          <cell r="AI456">
            <v>0</v>
          </cell>
          <cell r="AL456">
            <v>0</v>
          </cell>
          <cell r="AM456">
            <v>0</v>
          </cell>
          <cell r="AP456">
            <v>0</v>
          </cell>
          <cell r="AQ456">
            <v>0</v>
          </cell>
        </row>
        <row r="457">
          <cell r="V457">
            <v>0</v>
          </cell>
          <cell r="W457">
            <v>0</v>
          </cell>
          <cell r="Z457">
            <v>0</v>
          </cell>
          <cell r="AA457">
            <v>0</v>
          </cell>
          <cell r="AD457">
            <v>0</v>
          </cell>
          <cell r="AE457">
            <v>0</v>
          </cell>
          <cell r="AH457">
            <v>0</v>
          </cell>
          <cell r="AI457">
            <v>0</v>
          </cell>
          <cell r="AL457">
            <v>0</v>
          </cell>
          <cell r="AM457">
            <v>0</v>
          </cell>
          <cell r="AP457">
            <v>0</v>
          </cell>
          <cell r="AQ457">
            <v>0</v>
          </cell>
        </row>
        <row r="458">
          <cell r="V458">
            <v>0</v>
          </cell>
          <cell r="W458">
            <v>0</v>
          </cell>
          <cell r="Z458">
            <v>0</v>
          </cell>
          <cell r="AA458">
            <v>0</v>
          </cell>
          <cell r="AD458">
            <v>0</v>
          </cell>
          <cell r="AE458">
            <v>0</v>
          </cell>
          <cell r="AH458">
            <v>0</v>
          </cell>
          <cell r="AI458">
            <v>0</v>
          </cell>
          <cell r="AL458">
            <v>0</v>
          </cell>
          <cell r="AM458">
            <v>0</v>
          </cell>
          <cell r="AP458">
            <v>0</v>
          </cell>
          <cell r="AQ458">
            <v>0</v>
          </cell>
        </row>
        <row r="459">
          <cell r="V459">
            <v>0</v>
          </cell>
          <cell r="W459">
            <v>0</v>
          </cell>
          <cell r="Z459">
            <v>0</v>
          </cell>
          <cell r="AA459">
            <v>0</v>
          </cell>
          <cell r="AD459">
            <v>0</v>
          </cell>
          <cell r="AE459">
            <v>0</v>
          </cell>
          <cell r="AH459">
            <v>0</v>
          </cell>
          <cell r="AI459">
            <v>0</v>
          </cell>
          <cell r="AL459">
            <v>0</v>
          </cell>
          <cell r="AM459">
            <v>0</v>
          </cell>
          <cell r="AP459">
            <v>0</v>
          </cell>
          <cell r="AQ459">
            <v>0</v>
          </cell>
        </row>
        <row r="460">
          <cell r="V460">
            <v>0</v>
          </cell>
          <cell r="W460">
            <v>0</v>
          </cell>
          <cell r="Z460">
            <v>0</v>
          </cell>
          <cell r="AA460">
            <v>0</v>
          </cell>
          <cell r="AD460">
            <v>0</v>
          </cell>
          <cell r="AE460">
            <v>0</v>
          </cell>
          <cell r="AH460">
            <v>0</v>
          </cell>
          <cell r="AI460">
            <v>0</v>
          </cell>
          <cell r="AL460">
            <v>0</v>
          </cell>
          <cell r="AM460">
            <v>0</v>
          </cell>
          <cell r="AP460">
            <v>0</v>
          </cell>
          <cell r="AQ460">
            <v>0</v>
          </cell>
        </row>
        <row r="461">
          <cell r="V461">
            <v>0</v>
          </cell>
          <cell r="W461">
            <v>0</v>
          </cell>
          <cell r="Z461">
            <v>0</v>
          </cell>
          <cell r="AA461">
            <v>0</v>
          </cell>
          <cell r="AD461">
            <v>0</v>
          </cell>
          <cell r="AE461">
            <v>0</v>
          </cell>
          <cell r="AH461">
            <v>0</v>
          </cell>
          <cell r="AI461">
            <v>0</v>
          </cell>
          <cell r="AL461">
            <v>0</v>
          </cell>
          <cell r="AM461">
            <v>0</v>
          </cell>
          <cell r="AP461">
            <v>0</v>
          </cell>
          <cell r="AQ461">
            <v>0</v>
          </cell>
        </row>
        <row r="462">
          <cell r="V462">
            <v>0</v>
          </cell>
          <cell r="W462">
            <v>0</v>
          </cell>
          <cell r="Z462">
            <v>0</v>
          </cell>
          <cell r="AA462">
            <v>0</v>
          </cell>
          <cell r="AD462">
            <v>0</v>
          </cell>
          <cell r="AE462">
            <v>0</v>
          </cell>
          <cell r="AH462">
            <v>0</v>
          </cell>
          <cell r="AI462">
            <v>0</v>
          </cell>
          <cell r="AL462">
            <v>0</v>
          </cell>
          <cell r="AM462">
            <v>0</v>
          </cell>
          <cell r="AP462">
            <v>0</v>
          </cell>
          <cell r="AQ462">
            <v>0</v>
          </cell>
        </row>
        <row r="463">
          <cell r="V463">
            <v>0</v>
          </cell>
          <cell r="W463">
            <v>0</v>
          </cell>
          <cell r="Z463">
            <v>0</v>
          </cell>
          <cell r="AA463">
            <v>0</v>
          </cell>
          <cell r="AD463">
            <v>0</v>
          </cell>
          <cell r="AE463">
            <v>0</v>
          </cell>
          <cell r="AH463">
            <v>0</v>
          </cell>
          <cell r="AI463">
            <v>0</v>
          </cell>
          <cell r="AL463">
            <v>0</v>
          </cell>
          <cell r="AM463">
            <v>0</v>
          </cell>
          <cell r="AP463">
            <v>0</v>
          </cell>
          <cell r="AQ463">
            <v>0</v>
          </cell>
        </row>
        <row r="464">
          <cell r="V464">
            <v>0</v>
          </cell>
          <cell r="W464">
            <v>0</v>
          </cell>
          <cell r="Z464">
            <v>0</v>
          </cell>
          <cell r="AA464">
            <v>0</v>
          </cell>
          <cell r="AD464">
            <v>0</v>
          </cell>
          <cell r="AE464">
            <v>0</v>
          </cell>
          <cell r="AH464">
            <v>0</v>
          </cell>
          <cell r="AI464">
            <v>0</v>
          </cell>
          <cell r="AL464">
            <v>0</v>
          </cell>
          <cell r="AM464">
            <v>0</v>
          </cell>
          <cell r="AP464">
            <v>1.3034904076275338</v>
          </cell>
          <cell r="AQ464">
            <v>2.5027015826448649</v>
          </cell>
        </row>
        <row r="465">
          <cell r="V465">
            <v>0</v>
          </cell>
          <cell r="W465">
            <v>0</v>
          </cell>
          <cell r="Z465">
            <v>0</v>
          </cell>
          <cell r="AA465">
            <v>0</v>
          </cell>
          <cell r="AD465">
            <v>0</v>
          </cell>
          <cell r="AE465">
            <v>0</v>
          </cell>
          <cell r="AH465">
            <v>0</v>
          </cell>
          <cell r="AI465">
            <v>0</v>
          </cell>
          <cell r="AL465">
            <v>9.3344623819739181E-2</v>
          </cell>
          <cell r="AM465">
            <v>0.16281039038326603</v>
          </cell>
          <cell r="AP465">
            <v>0.23744902408401702</v>
          </cell>
          <cell r="AQ465">
            <v>0.414155274565146</v>
          </cell>
        </row>
        <row r="466">
          <cell r="V466">
            <v>0</v>
          </cell>
          <cell r="W466">
            <v>0</v>
          </cell>
          <cell r="Z466">
            <v>0</v>
          </cell>
          <cell r="AA466">
            <v>0</v>
          </cell>
          <cell r="AD466">
            <v>0</v>
          </cell>
          <cell r="AE466">
            <v>0</v>
          </cell>
          <cell r="AH466">
            <v>0</v>
          </cell>
          <cell r="AI466">
            <v>0</v>
          </cell>
          <cell r="AL466">
            <v>1.3599897482706653</v>
          </cell>
          <cell r="AM466">
            <v>2.3799820594736643</v>
          </cell>
          <cell r="AP466">
            <v>5.0025669451747268</v>
          </cell>
          <cell r="AQ466">
            <v>8.7544921540557716</v>
          </cell>
        </row>
        <row r="467">
          <cell r="V467">
            <v>0</v>
          </cell>
          <cell r="W467">
            <v>0</v>
          </cell>
          <cell r="Z467">
            <v>0</v>
          </cell>
          <cell r="AA467">
            <v>0</v>
          </cell>
          <cell r="AD467">
            <v>0</v>
          </cell>
          <cell r="AE467">
            <v>0</v>
          </cell>
          <cell r="AH467">
            <v>0</v>
          </cell>
          <cell r="AI467">
            <v>0</v>
          </cell>
          <cell r="AL467">
            <v>0</v>
          </cell>
          <cell r="AM467">
            <v>0</v>
          </cell>
          <cell r="AP467">
            <v>0.90749990370188749</v>
          </cell>
          <cell r="AQ467">
            <v>2.1174997753044043</v>
          </cell>
        </row>
        <row r="468">
          <cell r="V468">
            <v>2.2360015050796771</v>
          </cell>
          <cell r="W468">
            <v>3.7658972717131407</v>
          </cell>
          <cell r="Z468">
            <v>3.0164849323549316</v>
          </cell>
          <cell r="AA468">
            <v>5.080395675545148</v>
          </cell>
          <cell r="AD468">
            <v>3.9864851825911618</v>
          </cell>
          <cell r="AE468">
            <v>6.7140803075219564</v>
          </cell>
          <cell r="AH468">
            <v>4.6942588347054075</v>
          </cell>
          <cell r="AI468">
            <v>7.9061201426617389</v>
          </cell>
          <cell r="AL468">
            <v>5.7291036266056459</v>
          </cell>
          <cell r="AM468">
            <v>9.6490166342831927</v>
          </cell>
          <cell r="AP468">
            <v>7.1853245879205145</v>
          </cell>
          <cell r="AQ468">
            <v>12.101599305971392</v>
          </cell>
        </row>
        <row r="469">
          <cell r="V469">
            <v>0</v>
          </cell>
          <cell r="W469">
            <v>0</v>
          </cell>
          <cell r="Z469">
            <v>0</v>
          </cell>
          <cell r="AA469">
            <v>0</v>
          </cell>
          <cell r="AD469">
            <v>0</v>
          </cell>
          <cell r="AE469">
            <v>0</v>
          </cell>
          <cell r="AH469">
            <v>0</v>
          </cell>
          <cell r="AI469">
            <v>0</v>
          </cell>
          <cell r="AL469">
            <v>0</v>
          </cell>
          <cell r="AM469">
            <v>0</v>
          </cell>
          <cell r="AP469">
            <v>0.21832189716327813</v>
          </cell>
          <cell r="AQ469">
            <v>0.3478555018868944</v>
          </cell>
        </row>
        <row r="470">
          <cell r="V470">
            <v>0</v>
          </cell>
          <cell r="W470">
            <v>0</v>
          </cell>
          <cell r="Z470">
            <v>0</v>
          </cell>
          <cell r="AA470">
            <v>0</v>
          </cell>
          <cell r="AD470">
            <v>0</v>
          </cell>
          <cell r="AE470">
            <v>0</v>
          </cell>
          <cell r="AH470">
            <v>0</v>
          </cell>
          <cell r="AI470">
            <v>0</v>
          </cell>
          <cell r="AL470">
            <v>0</v>
          </cell>
          <cell r="AM470">
            <v>0</v>
          </cell>
          <cell r="AP470">
            <v>0</v>
          </cell>
          <cell r="AQ470">
            <v>0</v>
          </cell>
        </row>
        <row r="471">
          <cell r="V471">
            <v>5.4198138316332106E-2</v>
          </cell>
          <cell r="W471">
            <v>0.14355182581082557</v>
          </cell>
          <cell r="Z471">
            <v>9.5123430934493727E-2</v>
          </cell>
          <cell r="AA471">
            <v>0.25194854679946987</v>
          </cell>
          <cell r="AD471">
            <v>0.31183636002321546</v>
          </cell>
          <cell r="AE471">
            <v>0.82594495357500308</v>
          </cell>
          <cell r="AH471">
            <v>0.48961613910010926</v>
          </cell>
          <cell r="AI471">
            <v>1.2968211251840731</v>
          </cell>
          <cell r="AL471">
            <v>0.91862140867689035</v>
          </cell>
          <cell r="AM471">
            <v>2.4331053527117636</v>
          </cell>
          <cell r="AP471">
            <v>1.3398564677879599</v>
          </cell>
          <cell r="AQ471">
            <v>3.5488090227897318</v>
          </cell>
        </row>
        <row r="472">
          <cell r="V472">
            <v>0</v>
          </cell>
          <cell r="W472">
            <v>0</v>
          </cell>
          <cell r="Z472">
            <v>0</v>
          </cell>
          <cell r="AA472">
            <v>0</v>
          </cell>
          <cell r="AD472">
            <v>0</v>
          </cell>
          <cell r="AE472">
            <v>0</v>
          </cell>
          <cell r="AH472">
            <v>0</v>
          </cell>
          <cell r="AI472">
            <v>0</v>
          </cell>
          <cell r="AL472">
            <v>0</v>
          </cell>
          <cell r="AM472">
            <v>0</v>
          </cell>
          <cell r="AP472">
            <v>0</v>
          </cell>
          <cell r="AQ472">
            <v>0</v>
          </cell>
        </row>
        <row r="473">
          <cell r="V473">
            <v>0</v>
          </cell>
          <cell r="W473">
            <v>0</v>
          </cell>
          <cell r="Z473">
            <v>0</v>
          </cell>
          <cell r="AA473">
            <v>0</v>
          </cell>
          <cell r="AD473">
            <v>0</v>
          </cell>
          <cell r="AE473">
            <v>0</v>
          </cell>
          <cell r="AH473">
            <v>0</v>
          </cell>
          <cell r="AI473">
            <v>0</v>
          </cell>
          <cell r="AL473">
            <v>0</v>
          </cell>
          <cell r="AM473">
            <v>0</v>
          </cell>
          <cell r="AP473">
            <v>0</v>
          </cell>
          <cell r="AQ473">
            <v>0</v>
          </cell>
        </row>
        <row r="474">
          <cell r="V474">
            <v>0.84856016511500876</v>
          </cell>
          <cell r="W474">
            <v>1.5556936360441826</v>
          </cell>
          <cell r="Z474">
            <v>0.88288951399327587</v>
          </cell>
          <cell r="AA474">
            <v>1.618630775654339</v>
          </cell>
          <cell r="AD474">
            <v>0.91211104858468894</v>
          </cell>
          <cell r="AE474">
            <v>1.6722035890719298</v>
          </cell>
          <cell r="AH474">
            <v>0.9470655980949797</v>
          </cell>
          <cell r="AI474">
            <v>1.7362869298407961</v>
          </cell>
          <cell r="AL474">
            <v>1.0086553482609657</v>
          </cell>
          <cell r="AM474">
            <v>1.8492014718117706</v>
          </cell>
          <cell r="AP474">
            <v>1.0809922987286413</v>
          </cell>
          <cell r="AQ474">
            <v>1.9818192143358424</v>
          </cell>
        </row>
        <row r="475">
          <cell r="V475">
            <v>7.6760487898555603</v>
          </cell>
          <cell r="W475">
            <v>12.757376862013466</v>
          </cell>
          <cell r="Z475">
            <v>8.2512453493532369</v>
          </cell>
          <cell r="AA475">
            <v>13.713337341178619</v>
          </cell>
          <cell r="AD475">
            <v>10.115213514790554</v>
          </cell>
          <cell r="AE475">
            <v>16.811199925989936</v>
          </cell>
          <cell r="AH475">
            <v>12.610935044674342</v>
          </cell>
          <cell r="AI475">
            <v>20.959018806641865</v>
          </cell>
          <cell r="AL475">
            <v>18.902163493346226</v>
          </cell>
          <cell r="AM475">
            <v>31.414863270631759</v>
          </cell>
          <cell r="AP475">
            <v>27.178271010524895</v>
          </cell>
          <cell r="AQ475">
            <v>45.169520834393488</v>
          </cell>
        </row>
        <row r="476">
          <cell r="V476">
            <v>3.4329455036338299</v>
          </cell>
          <cell r="W476">
            <v>8.0919429728511716</v>
          </cell>
          <cell r="Z476">
            <v>3.961661890923267</v>
          </cell>
          <cell r="AA476">
            <v>9.338203028604843</v>
          </cell>
          <cell r="AD476">
            <v>4.9836140276317256</v>
          </cell>
          <cell r="AE476">
            <v>11.747090207989066</v>
          </cell>
          <cell r="AH476">
            <v>6.0192306180987538</v>
          </cell>
          <cell r="AI476">
            <v>14.188186456947061</v>
          </cell>
          <cell r="AL476">
            <v>8.0808179773208231</v>
          </cell>
          <cell r="AM476">
            <v>19.047642375113369</v>
          </cell>
          <cell r="AP476">
            <v>11.607258542927605</v>
          </cell>
          <cell r="AQ476">
            <v>27.35996656547221</v>
          </cell>
        </row>
        <row r="477">
          <cell r="V477">
            <v>0</v>
          </cell>
          <cell r="W477">
            <v>0</v>
          </cell>
          <cell r="Z477">
            <v>0</v>
          </cell>
          <cell r="AA477">
            <v>0</v>
          </cell>
          <cell r="AD477">
            <v>0</v>
          </cell>
          <cell r="AE477">
            <v>0</v>
          </cell>
          <cell r="AH477">
            <v>0</v>
          </cell>
          <cell r="AI477">
            <v>0</v>
          </cell>
          <cell r="AL477">
            <v>0</v>
          </cell>
          <cell r="AM477">
            <v>0</v>
          </cell>
          <cell r="AP477">
            <v>0</v>
          </cell>
          <cell r="AQ477">
            <v>0</v>
          </cell>
        </row>
        <row r="478">
          <cell r="V478">
            <v>2.6757565086187451</v>
          </cell>
          <cell r="W478">
            <v>4.0718033826806996</v>
          </cell>
          <cell r="Z478">
            <v>3.0453867193651929</v>
          </cell>
          <cell r="AA478">
            <v>4.634284138164424</v>
          </cell>
          <cell r="AD478">
            <v>3.486637553891232</v>
          </cell>
          <cell r="AE478">
            <v>5.3057527993997011</v>
          </cell>
          <cell r="AH478">
            <v>4.0709344231135782</v>
          </cell>
          <cell r="AI478">
            <v>6.1949002090858807</v>
          </cell>
          <cell r="AL478">
            <v>5.307635302222546</v>
          </cell>
          <cell r="AM478">
            <v>8.0768363294690921</v>
          </cell>
          <cell r="AP478">
            <v>6.9842035291194078</v>
          </cell>
          <cell r="AQ478">
            <v>10.628135805181708</v>
          </cell>
        </row>
        <row r="479">
          <cell r="V479">
            <v>0</v>
          </cell>
          <cell r="W479">
            <v>0</v>
          </cell>
          <cell r="Z479">
            <v>0</v>
          </cell>
          <cell r="AA479">
            <v>0</v>
          </cell>
          <cell r="AD479">
            <v>0</v>
          </cell>
          <cell r="AE479">
            <v>0</v>
          </cell>
          <cell r="AH479">
            <v>0</v>
          </cell>
          <cell r="AI479">
            <v>0</v>
          </cell>
          <cell r="AL479">
            <v>0</v>
          </cell>
          <cell r="AM479">
            <v>0</v>
          </cell>
          <cell r="AP479">
            <v>0</v>
          </cell>
          <cell r="AQ479">
            <v>0</v>
          </cell>
        </row>
        <row r="480">
          <cell r="V480">
            <v>0</v>
          </cell>
          <cell r="W480">
            <v>0</v>
          </cell>
          <cell r="Z480">
            <v>0</v>
          </cell>
          <cell r="AA480">
            <v>0</v>
          </cell>
          <cell r="AD480">
            <v>0</v>
          </cell>
          <cell r="AE480">
            <v>0</v>
          </cell>
          <cell r="AH480">
            <v>0</v>
          </cell>
          <cell r="AI480">
            <v>0</v>
          </cell>
          <cell r="AL480">
            <v>0</v>
          </cell>
          <cell r="AM480">
            <v>0</v>
          </cell>
          <cell r="AP480">
            <v>0</v>
          </cell>
          <cell r="AQ480">
            <v>0</v>
          </cell>
        </row>
        <row r="481">
          <cell r="V481">
            <v>0</v>
          </cell>
          <cell r="W481">
            <v>0</v>
          </cell>
          <cell r="Z481">
            <v>0</v>
          </cell>
          <cell r="AA481">
            <v>0</v>
          </cell>
          <cell r="AD481">
            <v>0</v>
          </cell>
          <cell r="AE481">
            <v>0</v>
          </cell>
          <cell r="AH481">
            <v>0</v>
          </cell>
          <cell r="AI481">
            <v>0</v>
          </cell>
          <cell r="AL481">
            <v>0</v>
          </cell>
          <cell r="AM481">
            <v>0</v>
          </cell>
          <cell r="AP481">
            <v>0</v>
          </cell>
          <cell r="AQ481">
            <v>0</v>
          </cell>
        </row>
        <row r="482">
          <cell r="V482">
            <v>0</v>
          </cell>
          <cell r="W482">
            <v>0</v>
          </cell>
          <cell r="Z482">
            <v>0</v>
          </cell>
          <cell r="AA482">
            <v>0</v>
          </cell>
          <cell r="AD482">
            <v>0</v>
          </cell>
          <cell r="AE482">
            <v>0</v>
          </cell>
          <cell r="AH482">
            <v>0</v>
          </cell>
          <cell r="AI482">
            <v>0</v>
          </cell>
          <cell r="AL482">
            <v>0</v>
          </cell>
          <cell r="AM482">
            <v>0</v>
          </cell>
          <cell r="AP482">
            <v>0</v>
          </cell>
          <cell r="AQ482">
            <v>0</v>
          </cell>
        </row>
        <row r="483">
          <cell r="V483">
            <v>0</v>
          </cell>
          <cell r="W483">
            <v>0</v>
          </cell>
          <cell r="Z483">
            <v>0</v>
          </cell>
          <cell r="AA483">
            <v>0</v>
          </cell>
          <cell r="AD483">
            <v>0</v>
          </cell>
          <cell r="AE483">
            <v>0</v>
          </cell>
          <cell r="AH483">
            <v>0</v>
          </cell>
          <cell r="AI483">
            <v>0</v>
          </cell>
          <cell r="AL483">
            <v>0</v>
          </cell>
          <cell r="AM483">
            <v>0</v>
          </cell>
          <cell r="AP483">
            <v>0</v>
          </cell>
          <cell r="AQ483">
            <v>0</v>
          </cell>
        </row>
        <row r="484">
          <cell r="V484">
            <v>0</v>
          </cell>
          <cell r="W484">
            <v>0</v>
          </cell>
          <cell r="Z484">
            <v>0</v>
          </cell>
          <cell r="AA484">
            <v>0</v>
          </cell>
          <cell r="AD484">
            <v>0</v>
          </cell>
          <cell r="AE484">
            <v>0</v>
          </cell>
          <cell r="AH484">
            <v>0</v>
          </cell>
          <cell r="AI484">
            <v>0</v>
          </cell>
          <cell r="AL484">
            <v>0</v>
          </cell>
          <cell r="AM484">
            <v>0</v>
          </cell>
          <cell r="AP484">
            <v>0</v>
          </cell>
          <cell r="AQ484">
            <v>0</v>
          </cell>
        </row>
        <row r="485">
          <cell r="V485">
            <v>0</v>
          </cell>
          <cell r="W485">
            <v>0</v>
          </cell>
          <cell r="Z485">
            <v>0</v>
          </cell>
          <cell r="AA485">
            <v>0</v>
          </cell>
          <cell r="AD485">
            <v>0</v>
          </cell>
          <cell r="AE485">
            <v>0</v>
          </cell>
          <cell r="AH485">
            <v>0</v>
          </cell>
          <cell r="AI485">
            <v>0</v>
          </cell>
          <cell r="AL485">
            <v>0</v>
          </cell>
          <cell r="AM485">
            <v>0</v>
          </cell>
          <cell r="AP485">
            <v>0</v>
          </cell>
          <cell r="AQ485">
            <v>0</v>
          </cell>
        </row>
        <row r="486">
          <cell r="V486">
            <v>0</v>
          </cell>
          <cell r="W486">
            <v>0</v>
          </cell>
          <cell r="Z486">
            <v>0</v>
          </cell>
          <cell r="AA486">
            <v>0</v>
          </cell>
          <cell r="AD486">
            <v>0</v>
          </cell>
          <cell r="AE486">
            <v>0</v>
          </cell>
          <cell r="AH486">
            <v>0</v>
          </cell>
          <cell r="AI486">
            <v>0</v>
          </cell>
          <cell r="AL486">
            <v>0</v>
          </cell>
          <cell r="AM486">
            <v>0</v>
          </cell>
          <cell r="AP486">
            <v>0</v>
          </cell>
          <cell r="AQ486">
            <v>0</v>
          </cell>
        </row>
        <row r="487">
          <cell r="V487">
            <v>0</v>
          </cell>
          <cell r="W487">
            <v>0</v>
          </cell>
          <cell r="Z487">
            <v>0</v>
          </cell>
          <cell r="AA487">
            <v>0</v>
          </cell>
          <cell r="AD487">
            <v>0</v>
          </cell>
          <cell r="AE487">
            <v>0</v>
          </cell>
          <cell r="AH487">
            <v>0</v>
          </cell>
          <cell r="AI487">
            <v>0</v>
          </cell>
          <cell r="AL487">
            <v>0</v>
          </cell>
          <cell r="AM487">
            <v>0</v>
          </cell>
          <cell r="AP487">
            <v>0</v>
          </cell>
          <cell r="AQ487">
            <v>0</v>
          </cell>
        </row>
        <row r="488">
          <cell r="V488">
            <v>0</v>
          </cell>
          <cell r="W488">
            <v>0</v>
          </cell>
          <cell r="Z488">
            <v>0</v>
          </cell>
          <cell r="AA488">
            <v>0</v>
          </cell>
          <cell r="AD488">
            <v>0</v>
          </cell>
          <cell r="AE488">
            <v>0</v>
          </cell>
          <cell r="AH488">
            <v>0</v>
          </cell>
          <cell r="AI488">
            <v>0</v>
          </cell>
          <cell r="AL488">
            <v>0</v>
          </cell>
          <cell r="AM488">
            <v>0</v>
          </cell>
          <cell r="AP488">
            <v>0</v>
          </cell>
          <cell r="AQ488">
            <v>0</v>
          </cell>
        </row>
        <row r="489">
          <cell r="V489">
            <v>0</v>
          </cell>
          <cell r="W489">
            <v>0</v>
          </cell>
          <cell r="Z489">
            <v>0</v>
          </cell>
          <cell r="AA489">
            <v>0</v>
          </cell>
          <cell r="AD489">
            <v>0</v>
          </cell>
          <cell r="AE489">
            <v>0</v>
          </cell>
          <cell r="AH489">
            <v>0</v>
          </cell>
          <cell r="AI489">
            <v>0</v>
          </cell>
          <cell r="AL489">
            <v>0</v>
          </cell>
          <cell r="AM489">
            <v>0</v>
          </cell>
          <cell r="AP489">
            <v>0</v>
          </cell>
          <cell r="AQ489">
            <v>0</v>
          </cell>
        </row>
        <row r="490">
          <cell r="V490">
            <v>0</v>
          </cell>
          <cell r="W490">
            <v>0</v>
          </cell>
          <cell r="Z490">
            <v>0</v>
          </cell>
          <cell r="AA490">
            <v>0</v>
          </cell>
          <cell r="AD490">
            <v>0</v>
          </cell>
          <cell r="AE490">
            <v>0</v>
          </cell>
          <cell r="AH490">
            <v>0</v>
          </cell>
          <cell r="AI490">
            <v>0</v>
          </cell>
          <cell r="AL490">
            <v>0</v>
          </cell>
          <cell r="AM490">
            <v>0</v>
          </cell>
          <cell r="AP490">
            <v>0</v>
          </cell>
          <cell r="AQ490">
            <v>0</v>
          </cell>
        </row>
        <row r="491">
          <cell r="V491">
            <v>0</v>
          </cell>
          <cell r="W491">
            <v>0</v>
          </cell>
          <cell r="Z491">
            <v>0</v>
          </cell>
          <cell r="AA491">
            <v>0</v>
          </cell>
          <cell r="AD491">
            <v>0</v>
          </cell>
          <cell r="AE491">
            <v>0</v>
          </cell>
          <cell r="AH491">
            <v>0</v>
          </cell>
          <cell r="AI491">
            <v>0</v>
          </cell>
          <cell r="AL491">
            <v>0</v>
          </cell>
          <cell r="AM491">
            <v>0</v>
          </cell>
          <cell r="AP491">
            <v>0</v>
          </cell>
          <cell r="AQ491">
            <v>0</v>
          </cell>
        </row>
        <row r="492">
          <cell r="V492">
            <v>0</v>
          </cell>
          <cell r="W492">
            <v>0</v>
          </cell>
          <cell r="Z492">
            <v>0</v>
          </cell>
          <cell r="AA492">
            <v>0</v>
          </cell>
          <cell r="AD492">
            <v>0</v>
          </cell>
          <cell r="AE492">
            <v>0</v>
          </cell>
          <cell r="AH492">
            <v>0.28610295171237143</v>
          </cell>
          <cell r="AI492">
            <v>1.1444118068494857</v>
          </cell>
          <cell r="AL492">
            <v>0.67193723406450512</v>
          </cell>
          <cell r="AM492">
            <v>2.6877489362580205</v>
          </cell>
          <cell r="AP492">
            <v>0.97878918230388079</v>
          </cell>
          <cell r="AQ492">
            <v>3.9151567292155232</v>
          </cell>
        </row>
        <row r="493">
          <cell r="V493">
            <v>0</v>
          </cell>
          <cell r="W493">
            <v>0</v>
          </cell>
          <cell r="Z493">
            <v>0</v>
          </cell>
          <cell r="AA493">
            <v>0</v>
          </cell>
          <cell r="AD493">
            <v>0</v>
          </cell>
          <cell r="AE493">
            <v>0</v>
          </cell>
          <cell r="AH493">
            <v>0</v>
          </cell>
          <cell r="AI493">
            <v>0</v>
          </cell>
          <cell r="AL493">
            <v>0</v>
          </cell>
          <cell r="AM493">
            <v>0</v>
          </cell>
          <cell r="AP493">
            <v>0.34125089754731908</v>
          </cell>
          <cell r="AQ493">
            <v>0.86863864830226667</v>
          </cell>
        </row>
        <row r="494">
          <cell r="V494">
            <v>0</v>
          </cell>
          <cell r="W494">
            <v>0</v>
          </cell>
          <cell r="Z494">
            <v>0</v>
          </cell>
          <cell r="AA494">
            <v>0</v>
          </cell>
          <cell r="AD494">
            <v>0</v>
          </cell>
          <cell r="AE494">
            <v>0</v>
          </cell>
          <cell r="AH494">
            <v>0</v>
          </cell>
          <cell r="AI494">
            <v>0</v>
          </cell>
          <cell r="AL494">
            <v>0</v>
          </cell>
          <cell r="AM494">
            <v>0</v>
          </cell>
          <cell r="AP494">
            <v>0.4038951223052657</v>
          </cell>
          <cell r="AQ494">
            <v>0.55775993080250974</v>
          </cell>
        </row>
        <row r="495">
          <cell r="V495">
            <v>0</v>
          </cell>
          <cell r="W495">
            <v>0</v>
          </cell>
          <cell r="Z495">
            <v>0</v>
          </cell>
          <cell r="AA495">
            <v>0</v>
          </cell>
          <cell r="AD495">
            <v>0</v>
          </cell>
          <cell r="AE495">
            <v>0</v>
          </cell>
          <cell r="AH495">
            <v>0.28088152979645131</v>
          </cell>
          <cell r="AI495">
            <v>0.49934494186035788</v>
          </cell>
          <cell r="AL495">
            <v>0.9011568001522573</v>
          </cell>
          <cell r="AM495">
            <v>1.6020565336040129</v>
          </cell>
          <cell r="AP495">
            <v>1.8967583683284035</v>
          </cell>
          <cell r="AQ495">
            <v>3.3720148770282727</v>
          </cell>
        </row>
        <row r="496">
          <cell r="V496">
            <v>0</v>
          </cell>
          <cell r="W496">
            <v>0</v>
          </cell>
          <cell r="Z496">
            <v>0</v>
          </cell>
          <cell r="AA496">
            <v>0</v>
          </cell>
          <cell r="AD496">
            <v>0</v>
          </cell>
          <cell r="AE496">
            <v>0</v>
          </cell>
          <cell r="AH496">
            <v>0</v>
          </cell>
          <cell r="AI496">
            <v>0</v>
          </cell>
          <cell r="AL496">
            <v>0.42526246363448544</v>
          </cell>
          <cell r="AM496">
            <v>1.7542076624922525</v>
          </cell>
          <cell r="AP496">
            <v>4.6199772847324088</v>
          </cell>
          <cell r="AQ496">
            <v>19.057406299521187</v>
          </cell>
        </row>
        <row r="497">
          <cell r="V497">
            <v>0</v>
          </cell>
          <cell r="W497">
            <v>0</v>
          </cell>
          <cell r="Z497">
            <v>0</v>
          </cell>
          <cell r="AA497">
            <v>0</v>
          </cell>
          <cell r="AD497">
            <v>0</v>
          </cell>
          <cell r="AE497">
            <v>0</v>
          </cell>
          <cell r="AH497">
            <v>0</v>
          </cell>
          <cell r="AI497">
            <v>0</v>
          </cell>
          <cell r="AL497">
            <v>1.444174598803448</v>
          </cell>
          <cell r="AM497">
            <v>5.7110540952681808</v>
          </cell>
          <cell r="AP497">
            <v>10.012837581586412</v>
          </cell>
          <cell r="AQ497">
            <v>39.596221345364448</v>
          </cell>
        </row>
        <row r="498">
          <cell r="V498">
            <v>0</v>
          </cell>
          <cell r="W498">
            <v>0</v>
          </cell>
          <cell r="Z498">
            <v>0</v>
          </cell>
          <cell r="AA498">
            <v>0</v>
          </cell>
          <cell r="AD498">
            <v>0</v>
          </cell>
          <cell r="AE498">
            <v>0</v>
          </cell>
          <cell r="AH498">
            <v>0</v>
          </cell>
          <cell r="AI498">
            <v>0</v>
          </cell>
          <cell r="AL498">
            <v>0</v>
          </cell>
          <cell r="AM498">
            <v>0</v>
          </cell>
          <cell r="AP498">
            <v>5.6512095000536027</v>
          </cell>
          <cell r="AQ498">
            <v>13.296963529537889</v>
          </cell>
        </row>
        <row r="499">
          <cell r="V499">
            <v>0</v>
          </cell>
          <cell r="W499">
            <v>0</v>
          </cell>
          <cell r="Z499">
            <v>0</v>
          </cell>
          <cell r="AA499">
            <v>0</v>
          </cell>
          <cell r="AD499">
            <v>0</v>
          </cell>
          <cell r="AE499">
            <v>0</v>
          </cell>
          <cell r="AH499">
            <v>0</v>
          </cell>
          <cell r="AI499">
            <v>0</v>
          </cell>
          <cell r="AL499">
            <v>0</v>
          </cell>
          <cell r="AM499">
            <v>0</v>
          </cell>
          <cell r="AP499">
            <v>0.34674546427565728</v>
          </cell>
          <cell r="AQ499">
            <v>0.93470516456916319</v>
          </cell>
        </row>
        <row r="500">
          <cell r="V500">
            <v>0</v>
          </cell>
          <cell r="W500">
            <v>0</v>
          </cell>
          <cell r="Z500">
            <v>0</v>
          </cell>
          <cell r="AA500">
            <v>0</v>
          </cell>
          <cell r="AD500">
            <v>0</v>
          </cell>
          <cell r="AE500">
            <v>0</v>
          </cell>
          <cell r="AH500">
            <v>0</v>
          </cell>
          <cell r="AI500">
            <v>0</v>
          </cell>
          <cell r="AL500">
            <v>0</v>
          </cell>
          <cell r="AM500">
            <v>0</v>
          </cell>
          <cell r="AP500">
            <v>0.85493668995761629</v>
          </cell>
          <cell r="AQ500">
            <v>2.051848055898279</v>
          </cell>
        </row>
        <row r="501">
          <cell r="V501">
            <v>0</v>
          </cell>
          <cell r="W501">
            <v>0</v>
          </cell>
          <cell r="Z501">
            <v>0</v>
          </cell>
          <cell r="AA501">
            <v>0</v>
          </cell>
          <cell r="AD501">
            <v>0</v>
          </cell>
          <cell r="AE501">
            <v>0</v>
          </cell>
          <cell r="AH501">
            <v>0</v>
          </cell>
          <cell r="AI501">
            <v>0</v>
          </cell>
          <cell r="AL501">
            <v>0</v>
          </cell>
          <cell r="AM501">
            <v>0</v>
          </cell>
          <cell r="AP501">
            <v>0.26647044847618107</v>
          </cell>
          <cell r="AQ501">
            <v>0.47372524173543307</v>
          </cell>
        </row>
        <row r="502">
          <cell r="V502">
            <v>0</v>
          </cell>
          <cell r="W502">
            <v>0</v>
          </cell>
          <cell r="Z502">
            <v>0</v>
          </cell>
          <cell r="AA502">
            <v>0</v>
          </cell>
          <cell r="AD502">
            <v>0</v>
          </cell>
          <cell r="AE502">
            <v>0</v>
          </cell>
          <cell r="AH502">
            <v>0</v>
          </cell>
          <cell r="AI502">
            <v>0</v>
          </cell>
          <cell r="AL502">
            <v>0</v>
          </cell>
          <cell r="AM502">
            <v>0</v>
          </cell>
          <cell r="AP502">
            <v>0.10214475149328786</v>
          </cell>
          <cell r="AQ502">
            <v>0.31869162465905815</v>
          </cell>
        </row>
        <row r="503">
          <cell r="V503">
            <v>0</v>
          </cell>
          <cell r="W503">
            <v>0</v>
          </cell>
          <cell r="Z503">
            <v>0</v>
          </cell>
          <cell r="AA503">
            <v>0</v>
          </cell>
          <cell r="AD503">
            <v>0</v>
          </cell>
          <cell r="AE503">
            <v>0</v>
          </cell>
          <cell r="AH503">
            <v>0</v>
          </cell>
          <cell r="AI503">
            <v>0</v>
          </cell>
          <cell r="AL503">
            <v>15.795450269826379</v>
          </cell>
          <cell r="AM503">
            <v>50.771090153013361</v>
          </cell>
          <cell r="AP503">
            <v>58.940068253553406</v>
          </cell>
          <cell r="AQ503">
            <v>189.45021938642168</v>
          </cell>
        </row>
        <row r="504">
          <cell r="V504">
            <v>0</v>
          </cell>
          <cell r="W504">
            <v>0</v>
          </cell>
          <cell r="Z504">
            <v>0</v>
          </cell>
          <cell r="AA504">
            <v>0</v>
          </cell>
          <cell r="AD504">
            <v>0</v>
          </cell>
          <cell r="AE504">
            <v>0</v>
          </cell>
          <cell r="AH504">
            <v>0</v>
          </cell>
          <cell r="AI504">
            <v>0</v>
          </cell>
          <cell r="AL504">
            <v>0.20867774069631576</v>
          </cell>
          <cell r="AM504">
            <v>0.89433317441278182</v>
          </cell>
          <cell r="AP504">
            <v>4.6166147862811595</v>
          </cell>
          <cell r="AQ504">
            <v>19.78549194120497</v>
          </cell>
        </row>
        <row r="505">
          <cell r="V505">
            <v>0</v>
          </cell>
          <cell r="W505">
            <v>0</v>
          </cell>
          <cell r="Z505">
            <v>0</v>
          </cell>
          <cell r="AA505">
            <v>0</v>
          </cell>
          <cell r="AD505">
            <v>0</v>
          </cell>
          <cell r="AE505">
            <v>0</v>
          </cell>
          <cell r="AH505">
            <v>0</v>
          </cell>
          <cell r="AI505">
            <v>0</v>
          </cell>
          <cell r="AL505">
            <v>0</v>
          </cell>
          <cell r="AM505">
            <v>0</v>
          </cell>
          <cell r="AP505">
            <v>0</v>
          </cell>
          <cell r="AQ505">
            <v>0</v>
          </cell>
        </row>
        <row r="506">
          <cell r="V506">
            <v>0</v>
          </cell>
          <cell r="W506">
            <v>0</v>
          </cell>
          <cell r="Z506">
            <v>0</v>
          </cell>
          <cell r="AA506">
            <v>0</v>
          </cell>
          <cell r="AD506">
            <v>0</v>
          </cell>
          <cell r="AE506">
            <v>0</v>
          </cell>
          <cell r="AH506">
            <v>0</v>
          </cell>
          <cell r="AI506">
            <v>0</v>
          </cell>
          <cell r="AL506">
            <v>0.19990023344777108</v>
          </cell>
          <cell r="AM506">
            <v>0.59970070034331324</v>
          </cell>
          <cell r="AP506">
            <v>0.21876337314671543</v>
          </cell>
          <cell r="AQ506">
            <v>0.65629011944014626</v>
          </cell>
        </row>
        <row r="507">
          <cell r="V507">
            <v>0</v>
          </cell>
          <cell r="W507">
            <v>0</v>
          </cell>
          <cell r="Z507">
            <v>0</v>
          </cell>
          <cell r="AA507">
            <v>0</v>
          </cell>
          <cell r="AD507">
            <v>0</v>
          </cell>
          <cell r="AE507">
            <v>0</v>
          </cell>
          <cell r="AH507">
            <v>0</v>
          </cell>
          <cell r="AI507">
            <v>0</v>
          </cell>
          <cell r="AL507">
            <v>0</v>
          </cell>
          <cell r="AM507">
            <v>0</v>
          </cell>
          <cell r="AP507">
            <v>0</v>
          </cell>
          <cell r="AQ507">
            <v>0</v>
          </cell>
        </row>
        <row r="508">
          <cell r="V508">
            <v>0</v>
          </cell>
          <cell r="W508">
            <v>0</v>
          </cell>
          <cell r="Z508">
            <v>0</v>
          </cell>
          <cell r="AA508">
            <v>0</v>
          </cell>
          <cell r="AD508">
            <v>0</v>
          </cell>
          <cell r="AE508">
            <v>0</v>
          </cell>
          <cell r="AH508">
            <v>0</v>
          </cell>
          <cell r="AI508">
            <v>0</v>
          </cell>
          <cell r="AL508">
            <v>0</v>
          </cell>
          <cell r="AM508">
            <v>0</v>
          </cell>
          <cell r="AP508">
            <v>0</v>
          </cell>
          <cell r="AQ508">
            <v>0</v>
          </cell>
        </row>
        <row r="509">
          <cell r="V509">
            <v>0</v>
          </cell>
          <cell r="W509">
            <v>0</v>
          </cell>
          <cell r="Z509">
            <v>0</v>
          </cell>
          <cell r="AA509">
            <v>0</v>
          </cell>
          <cell r="AD509">
            <v>0</v>
          </cell>
          <cell r="AE509">
            <v>0</v>
          </cell>
          <cell r="AH509">
            <v>0</v>
          </cell>
          <cell r="AI509">
            <v>0</v>
          </cell>
          <cell r="AL509">
            <v>0</v>
          </cell>
          <cell r="AM509">
            <v>0</v>
          </cell>
          <cell r="AP509">
            <v>0</v>
          </cell>
          <cell r="AQ509">
            <v>0</v>
          </cell>
        </row>
        <row r="510">
          <cell r="V510">
            <v>0</v>
          </cell>
          <cell r="W510">
            <v>0</v>
          </cell>
          <cell r="Z510">
            <v>0</v>
          </cell>
          <cell r="AA510">
            <v>0</v>
          </cell>
          <cell r="AD510">
            <v>0</v>
          </cell>
          <cell r="AE510">
            <v>0</v>
          </cell>
          <cell r="AH510">
            <v>4.1962345747482459</v>
          </cell>
          <cell r="AI510">
            <v>18.043808671417455</v>
          </cell>
          <cell r="AL510">
            <v>6.8140654704283623</v>
          </cell>
          <cell r="AM510">
            <v>29.300481522841956</v>
          </cell>
          <cell r="AP510">
            <v>8.0175339033266262</v>
          </cell>
          <cell r="AQ510">
            <v>34.475395784304496</v>
          </cell>
        </row>
        <row r="511">
          <cell r="V511">
            <v>23.52313548735339</v>
          </cell>
          <cell r="W511">
            <v>42.909036089996384</v>
          </cell>
          <cell r="Z511">
            <v>27.74244074970775</v>
          </cell>
          <cell r="AA511">
            <v>50.605557749466904</v>
          </cell>
          <cell r="AD511">
            <v>30.742958060561563</v>
          </cell>
          <cell r="AE511">
            <v>56.078863195898727</v>
          </cell>
          <cell r="AH511">
            <v>34.777075638527457</v>
          </cell>
          <cell r="AI511">
            <v>63.437580184851591</v>
          </cell>
          <cell r="AL511">
            <v>49.803531450145755</v>
          </cell>
          <cell r="AM511">
            <v>90.847647821120148</v>
          </cell>
          <cell r="AP511">
            <v>70.416131991195869</v>
          </cell>
          <cell r="AQ511">
            <v>128.44751714976934</v>
          </cell>
        </row>
        <row r="512">
          <cell r="V512">
            <v>0</v>
          </cell>
          <cell r="W512">
            <v>0</v>
          </cell>
          <cell r="Z512">
            <v>0</v>
          </cell>
          <cell r="AA512">
            <v>0</v>
          </cell>
          <cell r="AD512">
            <v>0</v>
          </cell>
          <cell r="AE512">
            <v>0</v>
          </cell>
          <cell r="AH512">
            <v>0</v>
          </cell>
          <cell r="AI512">
            <v>0</v>
          </cell>
          <cell r="AL512">
            <v>0</v>
          </cell>
          <cell r="AM512">
            <v>0</v>
          </cell>
          <cell r="AP512">
            <v>6.0406279313823923</v>
          </cell>
          <cell r="AQ512">
            <v>10.186857754106402</v>
          </cell>
        </row>
        <row r="513">
          <cell r="V513">
            <v>0</v>
          </cell>
          <cell r="W513">
            <v>0</v>
          </cell>
          <cell r="Z513">
            <v>0</v>
          </cell>
          <cell r="AA513">
            <v>0</v>
          </cell>
          <cell r="AD513">
            <v>0</v>
          </cell>
          <cell r="AE513">
            <v>0</v>
          </cell>
          <cell r="AH513">
            <v>0</v>
          </cell>
          <cell r="AI513">
            <v>0</v>
          </cell>
          <cell r="AL513">
            <v>0</v>
          </cell>
          <cell r="AM513">
            <v>0</v>
          </cell>
          <cell r="AP513">
            <v>0</v>
          </cell>
          <cell r="AQ513">
            <v>0</v>
          </cell>
        </row>
        <row r="514">
          <cell r="V514">
            <v>0</v>
          </cell>
          <cell r="W514">
            <v>0</v>
          </cell>
          <cell r="Z514">
            <v>0</v>
          </cell>
          <cell r="AA514">
            <v>0</v>
          </cell>
          <cell r="AD514">
            <v>1.3472737643375886E-3</v>
          </cell>
          <cell r="AE514">
            <v>2.020910646506383E-3</v>
          </cell>
          <cell r="AH514">
            <v>9.1625378558130195E-3</v>
          </cell>
          <cell r="AI514">
            <v>1.3743806783719529E-2</v>
          </cell>
          <cell r="AL514">
            <v>4.2870176983281327E-2</v>
          </cell>
          <cell r="AM514">
            <v>6.4305265474921991E-2</v>
          </cell>
          <cell r="AP514">
            <v>0.49211301161699733</v>
          </cell>
          <cell r="AQ514">
            <v>0.73816951742549597</v>
          </cell>
        </row>
        <row r="515">
          <cell r="V515">
            <v>0</v>
          </cell>
          <cell r="W515">
            <v>0</v>
          </cell>
          <cell r="Z515">
            <v>0</v>
          </cell>
          <cell r="AA515">
            <v>0</v>
          </cell>
          <cell r="AD515">
            <v>0</v>
          </cell>
          <cell r="AE515">
            <v>0</v>
          </cell>
          <cell r="AH515">
            <v>0</v>
          </cell>
          <cell r="AI515">
            <v>0</v>
          </cell>
          <cell r="AL515">
            <v>0</v>
          </cell>
          <cell r="AM515">
            <v>0</v>
          </cell>
          <cell r="AP515">
            <v>0</v>
          </cell>
          <cell r="AQ515">
            <v>0</v>
          </cell>
        </row>
        <row r="516">
          <cell r="V516">
            <v>0</v>
          </cell>
          <cell r="W516">
            <v>0</v>
          </cell>
          <cell r="Z516">
            <v>0</v>
          </cell>
          <cell r="AA516">
            <v>0</v>
          </cell>
          <cell r="AD516">
            <v>0</v>
          </cell>
          <cell r="AE516">
            <v>0</v>
          </cell>
          <cell r="AH516">
            <v>0</v>
          </cell>
          <cell r="AI516">
            <v>0</v>
          </cell>
          <cell r="AL516">
            <v>0</v>
          </cell>
          <cell r="AM516">
            <v>0</v>
          </cell>
          <cell r="AP516">
            <v>0</v>
          </cell>
          <cell r="AQ516">
            <v>0</v>
          </cell>
        </row>
        <row r="517">
          <cell r="V517">
            <v>0</v>
          </cell>
          <cell r="W517">
            <v>0</v>
          </cell>
          <cell r="Z517">
            <v>0</v>
          </cell>
          <cell r="AA517">
            <v>0</v>
          </cell>
          <cell r="AD517">
            <v>0</v>
          </cell>
          <cell r="AE517">
            <v>0</v>
          </cell>
          <cell r="AH517">
            <v>0</v>
          </cell>
          <cell r="AI517">
            <v>0</v>
          </cell>
          <cell r="AL517">
            <v>0</v>
          </cell>
          <cell r="AM517">
            <v>0</v>
          </cell>
          <cell r="AP517">
            <v>0</v>
          </cell>
          <cell r="AQ517">
            <v>0</v>
          </cell>
        </row>
        <row r="518">
          <cell r="V518">
            <v>0</v>
          </cell>
          <cell r="W518">
            <v>0</v>
          </cell>
          <cell r="Z518">
            <v>0</v>
          </cell>
          <cell r="AA518">
            <v>0</v>
          </cell>
          <cell r="AD518">
            <v>0</v>
          </cell>
          <cell r="AE518">
            <v>0</v>
          </cell>
          <cell r="AH518">
            <v>0</v>
          </cell>
          <cell r="AI518">
            <v>0</v>
          </cell>
          <cell r="AL518">
            <v>0</v>
          </cell>
          <cell r="AM518">
            <v>0</v>
          </cell>
          <cell r="AP518">
            <v>0</v>
          </cell>
          <cell r="AQ518">
            <v>0</v>
          </cell>
        </row>
        <row r="519">
          <cell r="V519">
            <v>0</v>
          </cell>
          <cell r="W519">
            <v>0</v>
          </cell>
          <cell r="Z519">
            <v>0</v>
          </cell>
          <cell r="AA519">
            <v>0</v>
          </cell>
          <cell r="AD519">
            <v>0</v>
          </cell>
          <cell r="AE519">
            <v>0</v>
          </cell>
          <cell r="AH519">
            <v>0</v>
          </cell>
          <cell r="AI519">
            <v>0</v>
          </cell>
          <cell r="AL519">
            <v>0</v>
          </cell>
          <cell r="AM519">
            <v>0</v>
          </cell>
          <cell r="AP519">
            <v>0</v>
          </cell>
          <cell r="AQ519">
            <v>0</v>
          </cell>
        </row>
        <row r="520">
          <cell r="V520">
            <v>0</v>
          </cell>
          <cell r="W520">
            <v>0</v>
          </cell>
          <cell r="Z520">
            <v>0</v>
          </cell>
          <cell r="AA520">
            <v>0</v>
          </cell>
          <cell r="AD520">
            <v>0</v>
          </cell>
          <cell r="AE520">
            <v>0</v>
          </cell>
          <cell r="AH520">
            <v>0</v>
          </cell>
          <cell r="AI520">
            <v>0</v>
          </cell>
          <cell r="AL520">
            <v>0</v>
          </cell>
          <cell r="AM520">
            <v>0</v>
          </cell>
          <cell r="AP520">
            <v>0</v>
          </cell>
          <cell r="AQ520">
            <v>0</v>
          </cell>
        </row>
        <row r="521">
          <cell r="V521">
            <v>0</v>
          </cell>
          <cell r="W521">
            <v>0</v>
          </cell>
          <cell r="Z521">
            <v>0</v>
          </cell>
          <cell r="AA521">
            <v>0</v>
          </cell>
          <cell r="AD521">
            <v>0</v>
          </cell>
          <cell r="AE521">
            <v>0</v>
          </cell>
          <cell r="AH521">
            <v>0</v>
          </cell>
          <cell r="AI521">
            <v>0</v>
          </cell>
          <cell r="AL521">
            <v>0</v>
          </cell>
          <cell r="AM521">
            <v>0</v>
          </cell>
          <cell r="AP521">
            <v>0</v>
          </cell>
          <cell r="AQ521">
            <v>0</v>
          </cell>
        </row>
        <row r="522">
          <cell r="V522">
            <v>0</v>
          </cell>
          <cell r="W522">
            <v>0</v>
          </cell>
          <cell r="Z522">
            <v>0</v>
          </cell>
          <cell r="AA522">
            <v>0</v>
          </cell>
          <cell r="AD522">
            <v>0</v>
          </cell>
          <cell r="AE522">
            <v>0</v>
          </cell>
          <cell r="AH522">
            <v>0</v>
          </cell>
          <cell r="AI522">
            <v>0</v>
          </cell>
          <cell r="AL522">
            <v>0</v>
          </cell>
          <cell r="AM522">
            <v>0</v>
          </cell>
          <cell r="AP522">
            <v>0</v>
          </cell>
          <cell r="AQ522">
            <v>0</v>
          </cell>
        </row>
        <row r="523">
          <cell r="V523">
            <v>0</v>
          </cell>
          <cell r="W523">
            <v>0</v>
          </cell>
          <cell r="Z523">
            <v>0</v>
          </cell>
          <cell r="AA523">
            <v>0</v>
          </cell>
          <cell r="AD523">
            <v>0</v>
          </cell>
          <cell r="AE523">
            <v>0</v>
          </cell>
          <cell r="AH523">
            <v>0</v>
          </cell>
          <cell r="AI523">
            <v>0</v>
          </cell>
          <cell r="AL523">
            <v>0</v>
          </cell>
          <cell r="AM523">
            <v>0</v>
          </cell>
          <cell r="AP523">
            <v>28.121842318174295</v>
          </cell>
          <cell r="AQ523">
            <v>44.526250337109296</v>
          </cell>
        </row>
        <row r="524">
          <cell r="V524">
            <v>0</v>
          </cell>
          <cell r="W524">
            <v>0</v>
          </cell>
          <cell r="Z524">
            <v>0</v>
          </cell>
          <cell r="AA524">
            <v>0</v>
          </cell>
          <cell r="AD524">
            <v>0</v>
          </cell>
          <cell r="AE524">
            <v>0</v>
          </cell>
          <cell r="AH524">
            <v>0</v>
          </cell>
          <cell r="AI524">
            <v>0</v>
          </cell>
          <cell r="AL524">
            <v>0</v>
          </cell>
          <cell r="AM524">
            <v>0</v>
          </cell>
          <cell r="AP524">
            <v>0</v>
          </cell>
          <cell r="AQ524">
            <v>0</v>
          </cell>
        </row>
        <row r="525">
          <cell r="V525">
            <v>0</v>
          </cell>
          <cell r="W525">
            <v>0</v>
          </cell>
          <cell r="Z525">
            <v>0</v>
          </cell>
          <cell r="AA525">
            <v>0</v>
          </cell>
          <cell r="AD525">
            <v>0</v>
          </cell>
          <cell r="AE525">
            <v>0</v>
          </cell>
          <cell r="AH525">
            <v>0</v>
          </cell>
          <cell r="AI525">
            <v>0</v>
          </cell>
          <cell r="AL525">
            <v>0</v>
          </cell>
          <cell r="AM525">
            <v>0</v>
          </cell>
          <cell r="AP525">
            <v>0</v>
          </cell>
          <cell r="AQ525">
            <v>0</v>
          </cell>
        </row>
        <row r="526">
          <cell r="V526">
            <v>0</v>
          </cell>
          <cell r="W526">
            <v>0</v>
          </cell>
          <cell r="Z526">
            <v>0</v>
          </cell>
          <cell r="AA526">
            <v>0</v>
          </cell>
          <cell r="AD526">
            <v>0</v>
          </cell>
          <cell r="AE526">
            <v>0</v>
          </cell>
          <cell r="AH526">
            <v>0</v>
          </cell>
          <cell r="AI526">
            <v>0</v>
          </cell>
          <cell r="AL526">
            <v>0</v>
          </cell>
          <cell r="AM526">
            <v>0</v>
          </cell>
          <cell r="AP526">
            <v>1.4154373351551546</v>
          </cell>
          <cell r="AQ526">
            <v>3.7037276936559875</v>
          </cell>
        </row>
        <row r="527">
          <cell r="V527">
            <v>0</v>
          </cell>
          <cell r="W527">
            <v>0</v>
          </cell>
          <cell r="Z527">
            <v>0</v>
          </cell>
          <cell r="AA527">
            <v>0</v>
          </cell>
          <cell r="AD527">
            <v>0</v>
          </cell>
          <cell r="AE527">
            <v>0</v>
          </cell>
          <cell r="AH527">
            <v>0</v>
          </cell>
          <cell r="AI527">
            <v>0</v>
          </cell>
          <cell r="AL527">
            <v>0</v>
          </cell>
          <cell r="AM527">
            <v>0</v>
          </cell>
          <cell r="AP527">
            <v>0</v>
          </cell>
          <cell r="AQ527">
            <v>0</v>
          </cell>
        </row>
        <row r="528">
          <cell r="V528">
            <v>0</v>
          </cell>
          <cell r="W528">
            <v>0</v>
          </cell>
          <cell r="Z528">
            <v>0</v>
          </cell>
          <cell r="AA528">
            <v>0</v>
          </cell>
          <cell r="AD528">
            <v>0</v>
          </cell>
          <cell r="AE528">
            <v>0</v>
          </cell>
          <cell r="AH528">
            <v>0</v>
          </cell>
          <cell r="AI528">
            <v>0</v>
          </cell>
          <cell r="AL528">
            <v>0</v>
          </cell>
          <cell r="AM528">
            <v>0</v>
          </cell>
          <cell r="AP528">
            <v>0</v>
          </cell>
          <cell r="AQ528">
            <v>0</v>
          </cell>
        </row>
        <row r="529">
          <cell r="V529">
            <v>0</v>
          </cell>
          <cell r="W529">
            <v>0</v>
          </cell>
          <cell r="Z529">
            <v>0</v>
          </cell>
          <cell r="AA529">
            <v>0</v>
          </cell>
          <cell r="AD529">
            <v>0</v>
          </cell>
          <cell r="AE529">
            <v>0</v>
          </cell>
          <cell r="AH529">
            <v>0</v>
          </cell>
          <cell r="AI529">
            <v>0</v>
          </cell>
          <cell r="AL529">
            <v>0</v>
          </cell>
          <cell r="AM529">
            <v>0</v>
          </cell>
          <cell r="AP529">
            <v>0</v>
          </cell>
          <cell r="AQ529">
            <v>0</v>
          </cell>
        </row>
        <row r="530">
          <cell r="V530">
            <v>0</v>
          </cell>
          <cell r="W530">
            <v>0</v>
          </cell>
          <cell r="Z530">
            <v>0</v>
          </cell>
          <cell r="AA530">
            <v>0</v>
          </cell>
          <cell r="AD530">
            <v>0</v>
          </cell>
          <cell r="AE530">
            <v>0</v>
          </cell>
          <cell r="AH530">
            <v>0</v>
          </cell>
          <cell r="AI530">
            <v>0</v>
          </cell>
          <cell r="AL530">
            <v>0</v>
          </cell>
          <cell r="AM530">
            <v>0</v>
          </cell>
          <cell r="AP530">
            <v>0</v>
          </cell>
          <cell r="AQ530">
            <v>0</v>
          </cell>
        </row>
        <row r="531">
          <cell r="V531">
            <v>0</v>
          </cell>
          <cell r="W531">
            <v>0</v>
          </cell>
          <cell r="Z531">
            <v>0</v>
          </cell>
          <cell r="AA531">
            <v>0</v>
          </cell>
          <cell r="AD531">
            <v>0</v>
          </cell>
          <cell r="AE531">
            <v>0</v>
          </cell>
          <cell r="AH531">
            <v>0</v>
          </cell>
          <cell r="AI531">
            <v>0</v>
          </cell>
          <cell r="AL531">
            <v>0</v>
          </cell>
          <cell r="AM531">
            <v>0</v>
          </cell>
          <cell r="AP531">
            <v>0</v>
          </cell>
          <cell r="AQ531">
            <v>0</v>
          </cell>
        </row>
        <row r="532">
          <cell r="V532">
            <v>0</v>
          </cell>
          <cell r="W532">
            <v>0</v>
          </cell>
          <cell r="Z532">
            <v>0</v>
          </cell>
          <cell r="AA532">
            <v>0</v>
          </cell>
          <cell r="AD532">
            <v>0</v>
          </cell>
          <cell r="AE532">
            <v>0</v>
          </cell>
          <cell r="AH532">
            <v>0</v>
          </cell>
          <cell r="AI532">
            <v>0</v>
          </cell>
          <cell r="AL532">
            <v>0</v>
          </cell>
          <cell r="AM532">
            <v>0</v>
          </cell>
          <cell r="AP532">
            <v>0</v>
          </cell>
          <cell r="AQ532">
            <v>0</v>
          </cell>
        </row>
        <row r="533">
          <cell r="V533">
            <v>0</v>
          </cell>
          <cell r="W533">
            <v>0</v>
          </cell>
          <cell r="Z533">
            <v>0</v>
          </cell>
          <cell r="AA533">
            <v>0</v>
          </cell>
          <cell r="AD533">
            <v>0</v>
          </cell>
          <cell r="AE533">
            <v>0</v>
          </cell>
          <cell r="AH533">
            <v>0</v>
          </cell>
          <cell r="AI533">
            <v>0</v>
          </cell>
          <cell r="AL533">
            <v>0</v>
          </cell>
          <cell r="AM533">
            <v>0</v>
          </cell>
          <cell r="AP533">
            <v>0</v>
          </cell>
          <cell r="AQ533">
            <v>0</v>
          </cell>
        </row>
        <row r="534">
          <cell r="V534">
            <v>0</v>
          </cell>
          <cell r="W534">
            <v>0</v>
          </cell>
          <cell r="Z534">
            <v>0</v>
          </cell>
          <cell r="AA534">
            <v>0</v>
          </cell>
          <cell r="AD534">
            <v>0</v>
          </cell>
          <cell r="AE534">
            <v>0</v>
          </cell>
          <cell r="AH534">
            <v>0</v>
          </cell>
          <cell r="AI534">
            <v>0</v>
          </cell>
          <cell r="AL534">
            <v>0</v>
          </cell>
          <cell r="AM534">
            <v>0</v>
          </cell>
          <cell r="AP534">
            <v>0</v>
          </cell>
          <cell r="AQ534">
            <v>0</v>
          </cell>
        </row>
        <row r="535">
          <cell r="V535">
            <v>0</v>
          </cell>
          <cell r="W535">
            <v>0</v>
          </cell>
          <cell r="Z535">
            <v>0</v>
          </cell>
          <cell r="AA535">
            <v>0</v>
          </cell>
          <cell r="AD535">
            <v>0</v>
          </cell>
          <cell r="AE535">
            <v>0</v>
          </cell>
          <cell r="AH535">
            <v>0</v>
          </cell>
          <cell r="AI535">
            <v>0</v>
          </cell>
          <cell r="AL535">
            <v>0</v>
          </cell>
          <cell r="AM535">
            <v>0</v>
          </cell>
          <cell r="AP535">
            <v>0</v>
          </cell>
          <cell r="AQ535">
            <v>0</v>
          </cell>
        </row>
        <row r="536">
          <cell r="V536">
            <v>0</v>
          </cell>
          <cell r="W536">
            <v>0</v>
          </cell>
          <cell r="Z536">
            <v>0</v>
          </cell>
          <cell r="AA536">
            <v>0</v>
          </cell>
          <cell r="AD536">
            <v>0</v>
          </cell>
          <cell r="AE536">
            <v>0</v>
          </cell>
          <cell r="AH536">
            <v>0</v>
          </cell>
          <cell r="AI536">
            <v>0</v>
          </cell>
          <cell r="AL536">
            <v>0</v>
          </cell>
          <cell r="AM536">
            <v>0</v>
          </cell>
          <cell r="AP536">
            <v>0</v>
          </cell>
          <cell r="AQ536">
            <v>0</v>
          </cell>
        </row>
        <row r="537">
          <cell r="V537">
            <v>0</v>
          </cell>
          <cell r="W537">
            <v>0</v>
          </cell>
          <cell r="Z537">
            <v>0</v>
          </cell>
          <cell r="AA537">
            <v>0</v>
          </cell>
          <cell r="AD537">
            <v>0</v>
          </cell>
          <cell r="AE537">
            <v>0</v>
          </cell>
          <cell r="AH537">
            <v>0</v>
          </cell>
          <cell r="AI537">
            <v>0</v>
          </cell>
          <cell r="AL537">
            <v>0</v>
          </cell>
          <cell r="AM537">
            <v>0</v>
          </cell>
          <cell r="AP537">
            <v>0</v>
          </cell>
          <cell r="AQ537">
            <v>0</v>
          </cell>
        </row>
        <row r="538">
          <cell r="V538">
            <v>0</v>
          </cell>
          <cell r="W538">
            <v>0</v>
          </cell>
          <cell r="Z538">
            <v>0</v>
          </cell>
          <cell r="AA538">
            <v>0</v>
          </cell>
          <cell r="AD538">
            <v>0</v>
          </cell>
          <cell r="AE538">
            <v>0</v>
          </cell>
          <cell r="AH538">
            <v>0</v>
          </cell>
          <cell r="AI538">
            <v>0</v>
          </cell>
          <cell r="AL538">
            <v>0</v>
          </cell>
          <cell r="AM538">
            <v>0</v>
          </cell>
          <cell r="AP538">
            <v>0</v>
          </cell>
          <cell r="AQ538">
            <v>0</v>
          </cell>
        </row>
        <row r="539">
          <cell r="V539">
            <v>0</v>
          </cell>
          <cell r="W539">
            <v>0</v>
          </cell>
          <cell r="Z539">
            <v>0</v>
          </cell>
          <cell r="AA539">
            <v>0</v>
          </cell>
          <cell r="AD539">
            <v>0</v>
          </cell>
          <cell r="AE539">
            <v>0</v>
          </cell>
          <cell r="AH539">
            <v>0</v>
          </cell>
          <cell r="AI539">
            <v>0</v>
          </cell>
          <cell r="AL539">
            <v>0</v>
          </cell>
          <cell r="AM539">
            <v>0</v>
          </cell>
          <cell r="AP539">
            <v>0</v>
          </cell>
          <cell r="AQ539">
            <v>0</v>
          </cell>
        </row>
        <row r="540">
          <cell r="V540">
            <v>0</v>
          </cell>
          <cell r="W540">
            <v>0</v>
          </cell>
          <cell r="Z540">
            <v>0</v>
          </cell>
          <cell r="AA540">
            <v>0</v>
          </cell>
          <cell r="AD540">
            <v>0</v>
          </cell>
          <cell r="AE540">
            <v>0</v>
          </cell>
          <cell r="AH540">
            <v>0</v>
          </cell>
          <cell r="AI540">
            <v>0</v>
          </cell>
          <cell r="AL540">
            <v>0</v>
          </cell>
          <cell r="AM540">
            <v>0</v>
          </cell>
          <cell r="AP540">
            <v>0</v>
          </cell>
          <cell r="AQ540">
            <v>0</v>
          </cell>
        </row>
        <row r="541">
          <cell r="V541">
            <v>0</v>
          </cell>
          <cell r="W541">
            <v>0</v>
          </cell>
          <cell r="Z541">
            <v>0</v>
          </cell>
          <cell r="AA541">
            <v>0</v>
          </cell>
          <cell r="AD541">
            <v>0</v>
          </cell>
          <cell r="AE541">
            <v>0</v>
          </cell>
          <cell r="AH541">
            <v>0</v>
          </cell>
          <cell r="AI541">
            <v>0</v>
          </cell>
          <cell r="AL541">
            <v>0</v>
          </cell>
          <cell r="AM541">
            <v>0</v>
          </cell>
          <cell r="AP541">
            <v>0</v>
          </cell>
          <cell r="AQ541">
            <v>0</v>
          </cell>
        </row>
        <row r="542">
          <cell r="V542">
            <v>0</v>
          </cell>
          <cell r="W542">
            <v>0</v>
          </cell>
          <cell r="Z542">
            <v>0</v>
          </cell>
          <cell r="AA542">
            <v>0</v>
          </cell>
          <cell r="AD542">
            <v>0</v>
          </cell>
          <cell r="AE542">
            <v>0</v>
          </cell>
          <cell r="AH542">
            <v>0</v>
          </cell>
          <cell r="AI542">
            <v>0</v>
          </cell>
          <cell r="AL542">
            <v>0</v>
          </cell>
          <cell r="AM542">
            <v>0</v>
          </cell>
          <cell r="AP542">
            <v>0</v>
          </cell>
          <cell r="AQ542">
            <v>0</v>
          </cell>
        </row>
        <row r="543">
          <cell r="V543">
            <v>0</v>
          </cell>
          <cell r="W543">
            <v>0</v>
          </cell>
          <cell r="Z543">
            <v>0</v>
          </cell>
          <cell r="AA543">
            <v>0</v>
          </cell>
          <cell r="AD543">
            <v>0</v>
          </cell>
          <cell r="AE543">
            <v>0</v>
          </cell>
          <cell r="AH543">
            <v>0</v>
          </cell>
          <cell r="AI543">
            <v>0</v>
          </cell>
          <cell r="AL543">
            <v>0</v>
          </cell>
          <cell r="AM543">
            <v>0</v>
          </cell>
          <cell r="AP543">
            <v>0</v>
          </cell>
          <cell r="AQ543">
            <v>0</v>
          </cell>
        </row>
        <row r="544">
          <cell r="V544">
            <v>0</v>
          </cell>
          <cell r="W544">
            <v>0</v>
          </cell>
          <cell r="Z544">
            <v>0</v>
          </cell>
          <cell r="AA544">
            <v>0</v>
          </cell>
          <cell r="AD544">
            <v>0</v>
          </cell>
          <cell r="AE544">
            <v>0</v>
          </cell>
          <cell r="AH544">
            <v>0</v>
          </cell>
          <cell r="AI544">
            <v>0</v>
          </cell>
          <cell r="AL544">
            <v>0</v>
          </cell>
          <cell r="AM544">
            <v>0</v>
          </cell>
          <cell r="AP544">
            <v>0</v>
          </cell>
          <cell r="AQ544">
            <v>0</v>
          </cell>
        </row>
        <row r="545">
          <cell r="V545">
            <v>0</v>
          </cell>
          <cell r="W545">
            <v>1.8392292828181243E-2</v>
          </cell>
          <cell r="Z545">
            <v>0</v>
          </cell>
          <cell r="AA545">
            <v>2.3733875700669423E-2</v>
          </cell>
          <cell r="AD545">
            <v>0</v>
          </cell>
          <cell r="AE545">
            <v>2.9145818463084651E-2</v>
          </cell>
          <cell r="AH545">
            <v>0</v>
          </cell>
          <cell r="AI545">
            <v>3.553773830877608E-2</v>
          </cell>
          <cell r="AL545">
            <v>0</v>
          </cell>
          <cell r="AM545">
            <v>4.5933064906803767E-2</v>
          </cell>
          <cell r="AP545">
            <v>0</v>
          </cell>
          <cell r="AQ545">
            <v>0.15616809939078447</v>
          </cell>
        </row>
        <row r="546">
          <cell r="V546">
            <v>0</v>
          </cell>
          <cell r="W546">
            <v>0</v>
          </cell>
          <cell r="Z546">
            <v>0</v>
          </cell>
          <cell r="AA546">
            <v>0</v>
          </cell>
          <cell r="AD546">
            <v>0</v>
          </cell>
          <cell r="AE546">
            <v>0</v>
          </cell>
          <cell r="AH546">
            <v>0</v>
          </cell>
          <cell r="AI546">
            <v>0</v>
          </cell>
          <cell r="AL546">
            <v>0</v>
          </cell>
          <cell r="AM546">
            <v>0</v>
          </cell>
          <cell r="AP546">
            <v>0</v>
          </cell>
          <cell r="AQ546">
            <v>0</v>
          </cell>
        </row>
        <row r="547">
          <cell r="V547">
            <v>0</v>
          </cell>
          <cell r="W547">
            <v>0</v>
          </cell>
          <cell r="Z547">
            <v>0</v>
          </cell>
          <cell r="AA547">
            <v>0</v>
          </cell>
          <cell r="AD547">
            <v>0</v>
          </cell>
          <cell r="AE547">
            <v>0</v>
          </cell>
          <cell r="AH547">
            <v>0</v>
          </cell>
          <cell r="AI547">
            <v>0</v>
          </cell>
          <cell r="AL547">
            <v>0</v>
          </cell>
          <cell r="AM547">
            <v>0</v>
          </cell>
          <cell r="AP547">
            <v>0</v>
          </cell>
          <cell r="AQ547">
            <v>0</v>
          </cell>
        </row>
        <row r="548">
          <cell r="V548">
            <v>0</v>
          </cell>
          <cell r="W548">
            <v>0</v>
          </cell>
          <cell r="Z548">
            <v>0</v>
          </cell>
          <cell r="AA548">
            <v>0</v>
          </cell>
          <cell r="AD548">
            <v>0</v>
          </cell>
          <cell r="AE548">
            <v>0</v>
          </cell>
          <cell r="AH548">
            <v>0</v>
          </cell>
          <cell r="AI548">
            <v>0</v>
          </cell>
          <cell r="AL548">
            <v>0</v>
          </cell>
          <cell r="AM548">
            <v>0</v>
          </cell>
          <cell r="AP548">
            <v>0</v>
          </cell>
          <cell r="AQ548">
            <v>0</v>
          </cell>
        </row>
        <row r="549">
          <cell r="V549">
            <v>0</v>
          </cell>
          <cell r="W549">
            <v>0</v>
          </cell>
          <cell r="Z549">
            <v>0</v>
          </cell>
          <cell r="AA549">
            <v>0</v>
          </cell>
          <cell r="AD549">
            <v>0</v>
          </cell>
          <cell r="AE549">
            <v>0</v>
          </cell>
          <cell r="AH549">
            <v>0</v>
          </cell>
          <cell r="AI549">
            <v>0</v>
          </cell>
          <cell r="AL549">
            <v>0</v>
          </cell>
          <cell r="AM549">
            <v>0</v>
          </cell>
          <cell r="AP549">
            <v>0</v>
          </cell>
          <cell r="AQ549">
            <v>0</v>
          </cell>
        </row>
        <row r="550">
          <cell r="V550">
            <v>0</v>
          </cell>
          <cell r="W550">
            <v>0</v>
          </cell>
          <cell r="Z550">
            <v>0</v>
          </cell>
          <cell r="AA550">
            <v>0</v>
          </cell>
          <cell r="AD550">
            <v>0</v>
          </cell>
          <cell r="AE550">
            <v>0</v>
          </cell>
          <cell r="AH550">
            <v>0</v>
          </cell>
          <cell r="AI550">
            <v>0</v>
          </cell>
          <cell r="AL550">
            <v>0</v>
          </cell>
          <cell r="AM550">
            <v>0</v>
          </cell>
          <cell r="AP550">
            <v>0</v>
          </cell>
          <cell r="AQ550">
            <v>0</v>
          </cell>
        </row>
        <row r="551">
          <cell r="V551">
            <v>0</v>
          </cell>
          <cell r="W551">
            <v>0</v>
          </cell>
          <cell r="Z551">
            <v>0</v>
          </cell>
          <cell r="AA551">
            <v>0</v>
          </cell>
          <cell r="AD551">
            <v>0</v>
          </cell>
          <cell r="AE551">
            <v>0</v>
          </cell>
          <cell r="AH551">
            <v>0</v>
          </cell>
          <cell r="AI551">
            <v>0</v>
          </cell>
          <cell r="AL551">
            <v>10.604257401726338</v>
          </cell>
          <cell r="AM551">
            <v>17.118301234215373</v>
          </cell>
          <cell r="AP551">
            <v>14.953688141567254</v>
          </cell>
          <cell r="AQ551">
            <v>24.13952514281571</v>
          </cell>
        </row>
        <row r="552">
          <cell r="V552">
            <v>0</v>
          </cell>
          <cell r="W552">
            <v>0</v>
          </cell>
          <cell r="Z552">
            <v>0</v>
          </cell>
          <cell r="AA552">
            <v>0</v>
          </cell>
          <cell r="AD552">
            <v>0</v>
          </cell>
          <cell r="AE552">
            <v>0</v>
          </cell>
          <cell r="AH552">
            <v>0</v>
          </cell>
          <cell r="AI552">
            <v>0</v>
          </cell>
          <cell r="AL552">
            <v>0</v>
          </cell>
          <cell r="AM552">
            <v>0</v>
          </cell>
          <cell r="AP552">
            <v>0</v>
          </cell>
          <cell r="AQ552">
            <v>0</v>
          </cell>
        </row>
        <row r="553">
          <cell r="V553">
            <v>0</v>
          </cell>
          <cell r="W553">
            <v>0</v>
          </cell>
          <cell r="Z553">
            <v>0</v>
          </cell>
          <cell r="AA553">
            <v>0</v>
          </cell>
          <cell r="AD553">
            <v>0</v>
          </cell>
          <cell r="AE553">
            <v>0</v>
          </cell>
          <cell r="AH553">
            <v>0</v>
          </cell>
          <cell r="AI553">
            <v>0</v>
          </cell>
          <cell r="AL553">
            <v>0</v>
          </cell>
          <cell r="AM553">
            <v>0</v>
          </cell>
          <cell r="AP553">
            <v>0</v>
          </cell>
          <cell r="AQ553">
            <v>0</v>
          </cell>
        </row>
        <row r="554">
          <cell r="V554">
            <v>0</v>
          </cell>
          <cell r="W554">
            <v>0</v>
          </cell>
          <cell r="Z554">
            <v>0</v>
          </cell>
          <cell r="AA554">
            <v>0</v>
          </cell>
          <cell r="AD554">
            <v>0</v>
          </cell>
          <cell r="AE554">
            <v>0</v>
          </cell>
          <cell r="AH554">
            <v>0</v>
          </cell>
          <cell r="AI554">
            <v>0</v>
          </cell>
          <cell r="AL554">
            <v>0</v>
          </cell>
          <cell r="AM554">
            <v>0</v>
          </cell>
          <cell r="AP554">
            <v>0</v>
          </cell>
          <cell r="AQ554">
            <v>0</v>
          </cell>
        </row>
        <row r="555">
          <cell r="V555">
            <v>0</v>
          </cell>
          <cell r="W555">
            <v>0</v>
          </cell>
          <cell r="Z555">
            <v>0</v>
          </cell>
          <cell r="AA555">
            <v>0</v>
          </cell>
          <cell r="AD555">
            <v>0</v>
          </cell>
          <cell r="AE555">
            <v>0</v>
          </cell>
          <cell r="AH555">
            <v>0</v>
          </cell>
          <cell r="AI555">
            <v>0</v>
          </cell>
          <cell r="AL555">
            <v>0</v>
          </cell>
          <cell r="AM555">
            <v>0</v>
          </cell>
          <cell r="AP555">
            <v>0</v>
          </cell>
          <cell r="AQ555">
            <v>0</v>
          </cell>
        </row>
        <row r="556">
          <cell r="V556">
            <v>0</v>
          </cell>
          <cell r="W556">
            <v>0</v>
          </cell>
          <cell r="Z556">
            <v>0</v>
          </cell>
          <cell r="AA556">
            <v>0</v>
          </cell>
          <cell r="AD556">
            <v>0</v>
          </cell>
          <cell r="AE556">
            <v>0</v>
          </cell>
          <cell r="AH556">
            <v>0</v>
          </cell>
          <cell r="AI556">
            <v>0</v>
          </cell>
          <cell r="AL556">
            <v>0</v>
          </cell>
          <cell r="AM556">
            <v>0</v>
          </cell>
          <cell r="AP556">
            <v>0</v>
          </cell>
          <cell r="AQ556">
            <v>0</v>
          </cell>
        </row>
        <row r="557">
          <cell r="V557">
            <v>0</v>
          </cell>
          <cell r="W557">
            <v>0</v>
          </cell>
          <cell r="Z557">
            <v>0</v>
          </cell>
          <cell r="AA557">
            <v>0</v>
          </cell>
          <cell r="AD557">
            <v>0</v>
          </cell>
          <cell r="AE557">
            <v>0</v>
          </cell>
          <cell r="AH557">
            <v>0</v>
          </cell>
          <cell r="AI557">
            <v>0</v>
          </cell>
          <cell r="AL557">
            <v>0</v>
          </cell>
          <cell r="AM557">
            <v>0</v>
          </cell>
          <cell r="AP557">
            <v>0</v>
          </cell>
          <cell r="AQ557">
            <v>0</v>
          </cell>
        </row>
        <row r="558">
          <cell r="V558">
            <v>0</v>
          </cell>
          <cell r="W558">
            <v>0</v>
          </cell>
          <cell r="Z558">
            <v>0</v>
          </cell>
          <cell r="AA558">
            <v>0</v>
          </cell>
          <cell r="AD558">
            <v>0</v>
          </cell>
          <cell r="AE558">
            <v>0</v>
          </cell>
          <cell r="AH558">
            <v>0</v>
          </cell>
          <cell r="AI558">
            <v>0</v>
          </cell>
          <cell r="AL558">
            <v>0</v>
          </cell>
          <cell r="AM558">
            <v>0</v>
          </cell>
          <cell r="AP558">
            <v>0</v>
          </cell>
          <cell r="AQ558">
            <v>0</v>
          </cell>
        </row>
        <row r="559">
          <cell r="V559">
            <v>0</v>
          </cell>
          <cell r="W559">
            <v>0</v>
          </cell>
          <cell r="Z559">
            <v>0</v>
          </cell>
          <cell r="AA559">
            <v>0</v>
          </cell>
          <cell r="AD559">
            <v>0</v>
          </cell>
          <cell r="AE559">
            <v>0</v>
          </cell>
          <cell r="AH559">
            <v>0</v>
          </cell>
          <cell r="AI559">
            <v>0</v>
          </cell>
          <cell r="AL559">
            <v>0</v>
          </cell>
          <cell r="AM559">
            <v>0</v>
          </cell>
          <cell r="AP559">
            <v>0</v>
          </cell>
          <cell r="AQ559">
            <v>0</v>
          </cell>
        </row>
        <row r="560">
          <cell r="V560">
            <v>0</v>
          </cell>
          <cell r="W560">
            <v>0</v>
          </cell>
          <cell r="Z560">
            <v>0</v>
          </cell>
          <cell r="AA560">
            <v>0</v>
          </cell>
          <cell r="AD560">
            <v>0</v>
          </cell>
          <cell r="AE560">
            <v>0</v>
          </cell>
          <cell r="AH560">
            <v>0</v>
          </cell>
          <cell r="AI560">
            <v>0</v>
          </cell>
          <cell r="AL560">
            <v>0</v>
          </cell>
          <cell r="AM560">
            <v>0</v>
          </cell>
          <cell r="AP560">
            <v>0</v>
          </cell>
          <cell r="AQ560">
            <v>0</v>
          </cell>
        </row>
        <row r="561">
          <cell r="V561">
            <v>0</v>
          </cell>
          <cell r="W561">
            <v>0</v>
          </cell>
          <cell r="Z561">
            <v>0</v>
          </cell>
          <cell r="AA561">
            <v>0</v>
          </cell>
          <cell r="AD561">
            <v>0</v>
          </cell>
          <cell r="AE561">
            <v>0</v>
          </cell>
          <cell r="AH561">
            <v>0</v>
          </cell>
          <cell r="AI561">
            <v>0</v>
          </cell>
          <cell r="AL561">
            <v>0</v>
          </cell>
          <cell r="AM561">
            <v>0</v>
          </cell>
          <cell r="AP561">
            <v>0</v>
          </cell>
          <cell r="AQ561">
            <v>0</v>
          </cell>
        </row>
        <row r="562">
          <cell r="V562">
            <v>0</v>
          </cell>
          <cell r="W562">
            <v>0</v>
          </cell>
          <cell r="Z562">
            <v>0</v>
          </cell>
          <cell r="AA562">
            <v>0</v>
          </cell>
          <cell r="AD562">
            <v>0</v>
          </cell>
          <cell r="AE562">
            <v>0</v>
          </cell>
          <cell r="AH562">
            <v>0</v>
          </cell>
          <cell r="AI562">
            <v>0</v>
          </cell>
          <cell r="AL562">
            <v>0</v>
          </cell>
          <cell r="AM562">
            <v>0</v>
          </cell>
          <cell r="AP562">
            <v>0</v>
          </cell>
          <cell r="AQ562">
            <v>0</v>
          </cell>
        </row>
        <row r="563">
          <cell r="V563">
            <v>0</v>
          </cell>
          <cell r="W563">
            <v>0</v>
          </cell>
          <cell r="Z563">
            <v>0</v>
          </cell>
          <cell r="AA563">
            <v>0</v>
          </cell>
          <cell r="AD563">
            <v>0</v>
          </cell>
          <cell r="AE563">
            <v>0</v>
          </cell>
          <cell r="AH563">
            <v>0</v>
          </cell>
          <cell r="AI563">
            <v>0</v>
          </cell>
          <cell r="AL563">
            <v>0</v>
          </cell>
          <cell r="AM563">
            <v>0</v>
          </cell>
          <cell r="AP563">
            <v>0</v>
          </cell>
          <cell r="AQ563">
            <v>0</v>
          </cell>
        </row>
        <row r="564">
          <cell r="V564">
            <v>0</v>
          </cell>
          <cell r="W564">
            <v>0</v>
          </cell>
          <cell r="Z564">
            <v>0</v>
          </cell>
          <cell r="AA564">
            <v>0</v>
          </cell>
          <cell r="AD564">
            <v>0</v>
          </cell>
          <cell r="AE564">
            <v>0</v>
          </cell>
          <cell r="AH564">
            <v>0</v>
          </cell>
          <cell r="AI564">
            <v>0</v>
          </cell>
          <cell r="AL564">
            <v>0</v>
          </cell>
          <cell r="AM564">
            <v>0</v>
          </cell>
          <cell r="AP564">
            <v>0</v>
          </cell>
          <cell r="AQ564">
            <v>0</v>
          </cell>
        </row>
        <row r="565">
          <cell r="V565">
            <v>0</v>
          </cell>
          <cell r="W565">
            <v>0</v>
          </cell>
          <cell r="Z565">
            <v>0</v>
          </cell>
          <cell r="AA565">
            <v>0</v>
          </cell>
          <cell r="AD565">
            <v>0</v>
          </cell>
          <cell r="AE565">
            <v>0</v>
          </cell>
          <cell r="AH565">
            <v>0</v>
          </cell>
          <cell r="AI565">
            <v>0</v>
          </cell>
          <cell r="AL565">
            <v>0</v>
          </cell>
          <cell r="AM565">
            <v>0</v>
          </cell>
          <cell r="AP565">
            <v>0</v>
          </cell>
          <cell r="AQ565">
            <v>0</v>
          </cell>
        </row>
        <row r="566">
          <cell r="V566">
            <v>0</v>
          </cell>
          <cell r="W566">
            <v>0</v>
          </cell>
          <cell r="Z566">
            <v>0</v>
          </cell>
          <cell r="AA566">
            <v>0</v>
          </cell>
          <cell r="AD566">
            <v>0</v>
          </cell>
          <cell r="AE566">
            <v>0</v>
          </cell>
          <cell r="AH566">
            <v>0</v>
          </cell>
          <cell r="AI566">
            <v>0</v>
          </cell>
          <cell r="AL566">
            <v>0.50062879625434176</v>
          </cell>
          <cell r="AM566">
            <v>0.50062879625434176</v>
          </cell>
          <cell r="AP566">
            <v>0.74810370594385089</v>
          </cell>
          <cell r="AQ566">
            <v>0.74810370594385089</v>
          </cell>
        </row>
        <row r="567">
          <cell r="V567">
            <v>0</v>
          </cell>
          <cell r="W567">
            <v>1.0507826583227251E-2</v>
          </cell>
          <cell r="Z567">
            <v>0</v>
          </cell>
          <cell r="AA567">
            <v>1.1099515809664492E-2</v>
          </cell>
          <cell r="AD567">
            <v>0</v>
          </cell>
          <cell r="AE567">
            <v>1.2123514143815291E-2</v>
          </cell>
          <cell r="AH567">
            <v>0</v>
          </cell>
          <cell r="AI567">
            <v>1.52699245592741E-2</v>
          </cell>
          <cell r="AL567">
            <v>0</v>
          </cell>
          <cell r="AM567">
            <v>1.8575487467718397E-2</v>
          </cell>
          <cell r="AP567">
            <v>0</v>
          </cell>
          <cell r="AQ567">
            <v>2.0754850135111257E-2</v>
          </cell>
        </row>
        <row r="568">
          <cell r="V568">
            <v>0.43230421862085483</v>
          </cell>
          <cell r="W568">
            <v>0.55020536915381524</v>
          </cell>
          <cell r="Z568">
            <v>0.43230421862085483</v>
          </cell>
          <cell r="AA568">
            <v>0.55020536915381524</v>
          </cell>
          <cell r="AD568">
            <v>0.51696075121366847</v>
          </cell>
          <cell r="AE568">
            <v>0.65795004699921444</v>
          </cell>
          <cell r="AH568">
            <v>0.55455519927496821</v>
          </cell>
          <cell r="AI568">
            <v>0.70579752634995951</v>
          </cell>
          <cell r="AL568">
            <v>1.238807754379825</v>
          </cell>
          <cell r="AM568">
            <v>1.5766644146652318</v>
          </cell>
          <cell r="AP568">
            <v>3.417853439738753</v>
          </cell>
          <cell r="AQ568">
            <v>4.3499952869402314</v>
          </cell>
        </row>
        <row r="569">
          <cell r="V569">
            <v>0</v>
          </cell>
          <cell r="W569">
            <v>0</v>
          </cell>
          <cell r="Z569">
            <v>0</v>
          </cell>
          <cell r="AA569">
            <v>0</v>
          </cell>
          <cell r="AD569">
            <v>0</v>
          </cell>
          <cell r="AE569">
            <v>0</v>
          </cell>
          <cell r="AH569">
            <v>0</v>
          </cell>
          <cell r="AI569">
            <v>0</v>
          </cell>
          <cell r="AL569">
            <v>0</v>
          </cell>
          <cell r="AM569">
            <v>0</v>
          </cell>
          <cell r="AP569">
            <v>0</v>
          </cell>
          <cell r="AQ569">
            <v>0</v>
          </cell>
        </row>
        <row r="570">
          <cell r="V570">
            <v>0</v>
          </cell>
          <cell r="W570">
            <v>0</v>
          </cell>
          <cell r="Z570">
            <v>0</v>
          </cell>
          <cell r="AA570">
            <v>0</v>
          </cell>
          <cell r="AD570">
            <v>0</v>
          </cell>
          <cell r="AE570">
            <v>0</v>
          </cell>
          <cell r="AH570">
            <v>0</v>
          </cell>
          <cell r="AI570">
            <v>0</v>
          </cell>
          <cell r="AL570">
            <v>0</v>
          </cell>
          <cell r="AM570">
            <v>0</v>
          </cell>
          <cell r="AP570">
            <v>0</v>
          </cell>
          <cell r="AQ570">
            <v>0</v>
          </cell>
        </row>
        <row r="571">
          <cell r="V571">
            <v>0</v>
          </cell>
          <cell r="W571">
            <v>0</v>
          </cell>
          <cell r="Z571">
            <v>0</v>
          </cell>
          <cell r="AA571">
            <v>0</v>
          </cell>
          <cell r="AD571">
            <v>0</v>
          </cell>
          <cell r="AE571">
            <v>0</v>
          </cell>
          <cell r="AH571">
            <v>0</v>
          </cell>
          <cell r="AI571">
            <v>0</v>
          </cell>
          <cell r="AL571">
            <v>0</v>
          </cell>
          <cell r="AM571">
            <v>0</v>
          </cell>
          <cell r="AP571">
            <v>0</v>
          </cell>
          <cell r="AQ571">
            <v>0</v>
          </cell>
        </row>
        <row r="572">
          <cell r="V572">
            <v>0</v>
          </cell>
          <cell r="W572">
            <v>0</v>
          </cell>
          <cell r="Z572">
            <v>0</v>
          </cell>
          <cell r="AA572">
            <v>0</v>
          </cell>
          <cell r="AD572">
            <v>0</v>
          </cell>
          <cell r="AE572">
            <v>0</v>
          </cell>
          <cell r="AH572">
            <v>0</v>
          </cell>
          <cell r="AI572">
            <v>0</v>
          </cell>
          <cell r="AL572">
            <v>0</v>
          </cell>
          <cell r="AM572">
            <v>0</v>
          </cell>
          <cell r="AP572">
            <v>0</v>
          </cell>
          <cell r="AQ572">
            <v>0</v>
          </cell>
        </row>
        <row r="573">
          <cell r="V573">
            <v>0</v>
          </cell>
          <cell r="W573">
            <v>0</v>
          </cell>
          <cell r="Z573">
            <v>0</v>
          </cell>
          <cell r="AA573">
            <v>0</v>
          </cell>
          <cell r="AD573">
            <v>0</v>
          </cell>
          <cell r="AE573">
            <v>0</v>
          </cell>
          <cell r="AH573">
            <v>0</v>
          </cell>
          <cell r="AI573">
            <v>0</v>
          </cell>
          <cell r="AL573">
            <v>0</v>
          </cell>
          <cell r="AM573">
            <v>0</v>
          </cell>
          <cell r="AP573">
            <v>0</v>
          </cell>
          <cell r="AQ573">
            <v>0</v>
          </cell>
        </row>
        <row r="574">
          <cell r="V574">
            <v>0</v>
          </cell>
          <cell r="W574">
            <v>0</v>
          </cell>
          <cell r="Z574">
            <v>0</v>
          </cell>
          <cell r="AA574">
            <v>0</v>
          </cell>
          <cell r="AD574">
            <v>0</v>
          </cell>
          <cell r="AE574">
            <v>0</v>
          </cell>
          <cell r="AH574">
            <v>0</v>
          </cell>
          <cell r="AI574">
            <v>0</v>
          </cell>
          <cell r="AL574">
            <v>0</v>
          </cell>
          <cell r="AM574">
            <v>0</v>
          </cell>
          <cell r="AP574">
            <v>0</v>
          </cell>
          <cell r="AQ574">
            <v>0</v>
          </cell>
        </row>
        <row r="575">
          <cell r="V575">
            <v>0</v>
          </cell>
          <cell r="W575">
            <v>0</v>
          </cell>
          <cell r="Z575">
            <v>0</v>
          </cell>
          <cell r="AA575">
            <v>0</v>
          </cell>
          <cell r="AD575">
            <v>0</v>
          </cell>
          <cell r="AE575">
            <v>0</v>
          </cell>
          <cell r="AH575">
            <v>0</v>
          </cell>
          <cell r="AI575">
            <v>0</v>
          </cell>
          <cell r="AL575">
            <v>0</v>
          </cell>
          <cell r="AM575">
            <v>0</v>
          </cell>
          <cell r="AP575">
            <v>0</v>
          </cell>
          <cell r="AQ575">
            <v>0</v>
          </cell>
        </row>
        <row r="576">
          <cell r="V576">
            <v>0</v>
          </cell>
          <cell r="W576">
            <v>0</v>
          </cell>
          <cell r="Z576">
            <v>0</v>
          </cell>
          <cell r="AA576">
            <v>0</v>
          </cell>
          <cell r="AD576">
            <v>0</v>
          </cell>
          <cell r="AE576">
            <v>0</v>
          </cell>
          <cell r="AH576">
            <v>0</v>
          </cell>
          <cell r="AI576">
            <v>0</v>
          </cell>
          <cell r="AL576">
            <v>0</v>
          </cell>
          <cell r="AM576">
            <v>0</v>
          </cell>
          <cell r="AP576">
            <v>0</v>
          </cell>
          <cell r="AQ576">
            <v>0</v>
          </cell>
        </row>
        <row r="577">
          <cell r="V577">
            <v>0</v>
          </cell>
          <cell r="W577">
            <v>0</v>
          </cell>
          <cell r="Z577">
            <v>0</v>
          </cell>
          <cell r="AA577">
            <v>0</v>
          </cell>
          <cell r="AD577">
            <v>0</v>
          </cell>
          <cell r="AE577">
            <v>0</v>
          </cell>
          <cell r="AH577">
            <v>0</v>
          </cell>
          <cell r="AI577">
            <v>0</v>
          </cell>
          <cell r="AL577">
            <v>0</v>
          </cell>
          <cell r="AM577">
            <v>0</v>
          </cell>
          <cell r="AP577">
            <v>1.6556649316491958</v>
          </cell>
          <cell r="AQ577">
            <v>2.2075532421989279</v>
          </cell>
        </row>
        <row r="578">
          <cell r="V578">
            <v>0</v>
          </cell>
          <cell r="W578">
            <v>0</v>
          </cell>
          <cell r="Z578">
            <v>0</v>
          </cell>
          <cell r="AA578">
            <v>0</v>
          </cell>
          <cell r="AD578">
            <v>0</v>
          </cell>
          <cell r="AE578">
            <v>0</v>
          </cell>
          <cell r="AH578">
            <v>0</v>
          </cell>
          <cell r="AI578">
            <v>0</v>
          </cell>
          <cell r="AL578">
            <v>0</v>
          </cell>
          <cell r="AM578">
            <v>0</v>
          </cell>
          <cell r="AP578">
            <v>0</v>
          </cell>
          <cell r="AQ578">
            <v>0</v>
          </cell>
        </row>
        <row r="579">
          <cell r="V579">
            <v>0</v>
          </cell>
          <cell r="W579">
            <v>0</v>
          </cell>
          <cell r="Z579">
            <v>0</v>
          </cell>
          <cell r="AA579">
            <v>0</v>
          </cell>
          <cell r="AD579">
            <v>0</v>
          </cell>
          <cell r="AE579">
            <v>0</v>
          </cell>
          <cell r="AH579">
            <v>0</v>
          </cell>
          <cell r="AI579">
            <v>0</v>
          </cell>
          <cell r="AL579">
            <v>0.12200476144849443</v>
          </cell>
          <cell r="AM579">
            <v>0.24400952289698885</v>
          </cell>
          <cell r="AP579">
            <v>0.12659356239439332</v>
          </cell>
          <cell r="AQ579">
            <v>0.25318712478878663</v>
          </cell>
        </row>
        <row r="580">
          <cell r="V580">
            <v>0</v>
          </cell>
          <cell r="W580">
            <v>0</v>
          </cell>
          <cell r="Z580">
            <v>0</v>
          </cell>
          <cell r="AA580">
            <v>0</v>
          </cell>
          <cell r="AD580">
            <v>0</v>
          </cell>
          <cell r="AE580">
            <v>0</v>
          </cell>
          <cell r="AH580">
            <v>0</v>
          </cell>
          <cell r="AI580">
            <v>0</v>
          </cell>
          <cell r="AL580">
            <v>0</v>
          </cell>
          <cell r="AM580">
            <v>0</v>
          </cell>
          <cell r="AP580">
            <v>0</v>
          </cell>
          <cell r="AQ580">
            <v>0</v>
          </cell>
        </row>
        <row r="581">
          <cell r="V581">
            <v>0</v>
          </cell>
          <cell r="W581">
            <v>0</v>
          </cell>
          <cell r="Z581">
            <v>0</v>
          </cell>
          <cell r="AA581">
            <v>0</v>
          </cell>
          <cell r="AD581">
            <v>0</v>
          </cell>
          <cell r="AE581">
            <v>0</v>
          </cell>
          <cell r="AH581">
            <v>0</v>
          </cell>
          <cell r="AI581">
            <v>0</v>
          </cell>
          <cell r="AL581">
            <v>0</v>
          </cell>
          <cell r="AM581">
            <v>0</v>
          </cell>
          <cell r="AP581">
            <v>0</v>
          </cell>
          <cell r="AQ581">
            <v>0</v>
          </cell>
        </row>
        <row r="582">
          <cell r="V582">
            <v>0</v>
          </cell>
          <cell r="W582">
            <v>0</v>
          </cell>
          <cell r="Z582">
            <v>0</v>
          </cell>
          <cell r="AA582">
            <v>0</v>
          </cell>
          <cell r="AD582">
            <v>0</v>
          </cell>
          <cell r="AE582">
            <v>0</v>
          </cell>
          <cell r="AH582">
            <v>0</v>
          </cell>
          <cell r="AI582">
            <v>0</v>
          </cell>
          <cell r="AL582">
            <v>0</v>
          </cell>
          <cell r="AM582">
            <v>0</v>
          </cell>
          <cell r="AP582">
            <v>0</v>
          </cell>
          <cell r="AQ582">
            <v>0</v>
          </cell>
        </row>
        <row r="583">
          <cell r="V583">
            <v>0</v>
          </cell>
          <cell r="W583">
            <v>0</v>
          </cell>
          <cell r="Z583">
            <v>0</v>
          </cell>
          <cell r="AA583">
            <v>0</v>
          </cell>
          <cell r="AD583">
            <v>0</v>
          </cell>
          <cell r="AE583">
            <v>0</v>
          </cell>
          <cell r="AH583">
            <v>0</v>
          </cell>
          <cell r="AI583">
            <v>0</v>
          </cell>
          <cell r="AL583">
            <v>0</v>
          </cell>
          <cell r="AM583">
            <v>0</v>
          </cell>
          <cell r="AP583">
            <v>0</v>
          </cell>
          <cell r="AQ583">
            <v>0</v>
          </cell>
        </row>
        <row r="584">
          <cell r="V584">
            <v>0</v>
          </cell>
          <cell r="W584">
            <v>0</v>
          </cell>
          <cell r="Z584">
            <v>0</v>
          </cell>
          <cell r="AA584">
            <v>0</v>
          </cell>
          <cell r="AD584">
            <v>0</v>
          </cell>
          <cell r="AE584">
            <v>0</v>
          </cell>
          <cell r="AH584">
            <v>0</v>
          </cell>
          <cell r="AI584">
            <v>0</v>
          </cell>
          <cell r="AL584">
            <v>0</v>
          </cell>
          <cell r="AM584">
            <v>0</v>
          </cell>
          <cell r="AP584">
            <v>0</v>
          </cell>
          <cell r="AQ584">
            <v>0</v>
          </cell>
        </row>
        <row r="585">
          <cell r="V585">
            <v>0</v>
          </cell>
          <cell r="W585">
            <v>0</v>
          </cell>
          <cell r="Z585">
            <v>0</v>
          </cell>
          <cell r="AA585">
            <v>0</v>
          </cell>
          <cell r="AD585">
            <v>0</v>
          </cell>
          <cell r="AE585">
            <v>0</v>
          </cell>
          <cell r="AH585">
            <v>0</v>
          </cell>
          <cell r="AI585">
            <v>0</v>
          </cell>
          <cell r="AL585">
            <v>0</v>
          </cell>
          <cell r="AM585">
            <v>0</v>
          </cell>
          <cell r="AP585">
            <v>0</v>
          </cell>
          <cell r="AQ585">
            <v>0</v>
          </cell>
        </row>
        <row r="586">
          <cell r="V586">
            <v>0</v>
          </cell>
          <cell r="W586">
            <v>0</v>
          </cell>
          <cell r="Z586">
            <v>0</v>
          </cell>
          <cell r="AA586">
            <v>0</v>
          </cell>
          <cell r="AD586">
            <v>0</v>
          </cell>
          <cell r="AE586">
            <v>0</v>
          </cell>
          <cell r="AH586">
            <v>0</v>
          </cell>
          <cell r="AI586">
            <v>0</v>
          </cell>
          <cell r="AL586">
            <v>0</v>
          </cell>
          <cell r="AM586">
            <v>0</v>
          </cell>
          <cell r="AP586">
            <v>0</v>
          </cell>
          <cell r="AQ586">
            <v>0</v>
          </cell>
        </row>
        <row r="587">
          <cell r="V587">
            <v>0</v>
          </cell>
          <cell r="W587">
            <v>0</v>
          </cell>
          <cell r="Z587">
            <v>0</v>
          </cell>
          <cell r="AA587">
            <v>0</v>
          </cell>
          <cell r="AD587">
            <v>0</v>
          </cell>
          <cell r="AE587">
            <v>0</v>
          </cell>
          <cell r="AH587">
            <v>0</v>
          </cell>
          <cell r="AI587">
            <v>0</v>
          </cell>
          <cell r="AL587">
            <v>0</v>
          </cell>
          <cell r="AM587">
            <v>0</v>
          </cell>
          <cell r="AP587">
            <v>0</v>
          </cell>
          <cell r="AQ587">
            <v>0</v>
          </cell>
        </row>
        <row r="588">
          <cell r="V588">
            <v>0</v>
          </cell>
          <cell r="W588">
            <v>0</v>
          </cell>
          <cell r="Z588">
            <v>0</v>
          </cell>
          <cell r="AA588">
            <v>0</v>
          </cell>
          <cell r="AD588">
            <v>0</v>
          </cell>
          <cell r="AE588">
            <v>0</v>
          </cell>
          <cell r="AH588">
            <v>0</v>
          </cell>
          <cell r="AI588">
            <v>0</v>
          </cell>
          <cell r="AL588">
            <v>0</v>
          </cell>
          <cell r="AM588">
            <v>0</v>
          </cell>
          <cell r="AP588">
            <v>0</v>
          </cell>
          <cell r="AQ588">
            <v>0</v>
          </cell>
        </row>
        <row r="589">
          <cell r="V589">
            <v>0</v>
          </cell>
          <cell r="W589">
            <v>0</v>
          </cell>
          <cell r="Z589">
            <v>0</v>
          </cell>
          <cell r="AA589">
            <v>0</v>
          </cell>
          <cell r="AD589">
            <v>0</v>
          </cell>
          <cell r="AE589">
            <v>0</v>
          </cell>
          <cell r="AH589">
            <v>0</v>
          </cell>
          <cell r="AI589">
            <v>0</v>
          </cell>
          <cell r="AL589">
            <v>0</v>
          </cell>
          <cell r="AM589">
            <v>0</v>
          </cell>
          <cell r="AP589">
            <v>0</v>
          </cell>
          <cell r="AQ589">
            <v>0</v>
          </cell>
        </row>
        <row r="590">
          <cell r="V590">
            <v>0</v>
          </cell>
          <cell r="W590">
            <v>0</v>
          </cell>
          <cell r="Z590">
            <v>0</v>
          </cell>
          <cell r="AA590">
            <v>0</v>
          </cell>
          <cell r="AD590">
            <v>0</v>
          </cell>
          <cell r="AE590">
            <v>0</v>
          </cell>
          <cell r="AH590">
            <v>0</v>
          </cell>
          <cell r="AI590">
            <v>0</v>
          </cell>
          <cell r="AL590">
            <v>0</v>
          </cell>
          <cell r="AM590">
            <v>0</v>
          </cell>
          <cell r="AP590">
            <v>0</v>
          </cell>
          <cell r="AQ590">
            <v>0</v>
          </cell>
        </row>
        <row r="591">
          <cell r="V591">
            <v>0</v>
          </cell>
          <cell r="W591">
            <v>0</v>
          </cell>
          <cell r="Z591">
            <v>0</v>
          </cell>
          <cell r="AA591">
            <v>0</v>
          </cell>
          <cell r="AD591">
            <v>0</v>
          </cell>
          <cell r="AE591">
            <v>0</v>
          </cell>
          <cell r="AH591">
            <v>0</v>
          </cell>
          <cell r="AI591">
            <v>0</v>
          </cell>
          <cell r="AL591">
            <v>0</v>
          </cell>
          <cell r="AM591">
            <v>0</v>
          </cell>
          <cell r="AP591">
            <v>0</v>
          </cell>
          <cell r="AQ591">
            <v>0</v>
          </cell>
        </row>
        <row r="592">
          <cell r="V592">
            <v>0</v>
          </cell>
          <cell r="W592">
            <v>0</v>
          </cell>
          <cell r="Z592">
            <v>0</v>
          </cell>
          <cell r="AA592">
            <v>0</v>
          </cell>
          <cell r="AD592">
            <v>0</v>
          </cell>
          <cell r="AE592">
            <v>0</v>
          </cell>
          <cell r="AH592">
            <v>0</v>
          </cell>
          <cell r="AI592">
            <v>0</v>
          </cell>
          <cell r="AL592">
            <v>0.42398155859336534</v>
          </cell>
          <cell r="AM592">
            <v>1.2719446757800961</v>
          </cell>
          <cell r="AP592">
            <v>0.43059636421202796</v>
          </cell>
          <cell r="AQ592">
            <v>1.2917890926360838</v>
          </cell>
        </row>
        <row r="593">
          <cell r="V593">
            <v>0</v>
          </cell>
          <cell r="W593">
            <v>0</v>
          </cell>
          <cell r="Z593">
            <v>0</v>
          </cell>
          <cell r="AA593">
            <v>0</v>
          </cell>
          <cell r="AD593">
            <v>0</v>
          </cell>
          <cell r="AE593">
            <v>0</v>
          </cell>
          <cell r="AH593">
            <v>0</v>
          </cell>
          <cell r="AI593">
            <v>0</v>
          </cell>
          <cell r="AL593">
            <v>1.4337964164949433</v>
          </cell>
          <cell r="AM593">
            <v>4.5881485327838183</v>
          </cell>
          <cell r="AP593">
            <v>1.447193672352719</v>
          </cell>
          <cell r="AQ593">
            <v>4.6310197515287008</v>
          </cell>
        </row>
        <row r="594">
          <cell r="V594">
            <v>0</v>
          </cell>
          <cell r="W594">
            <v>0</v>
          </cell>
          <cell r="Z594">
            <v>0</v>
          </cell>
          <cell r="AA594">
            <v>0</v>
          </cell>
          <cell r="AD594">
            <v>0</v>
          </cell>
          <cell r="AE594">
            <v>0</v>
          </cell>
          <cell r="AH594">
            <v>0</v>
          </cell>
          <cell r="AI594">
            <v>0</v>
          </cell>
          <cell r="AL594">
            <v>1.3923060546019854</v>
          </cell>
          <cell r="AM594">
            <v>5.8012752275082731</v>
          </cell>
          <cell r="AP594">
            <v>1.3923060546019854</v>
          </cell>
          <cell r="AQ594">
            <v>5.8012752275082731</v>
          </cell>
        </row>
        <row r="595">
          <cell r="V595">
            <v>0</v>
          </cell>
          <cell r="W595">
            <v>0</v>
          </cell>
          <cell r="Z595">
            <v>0</v>
          </cell>
          <cell r="AA595">
            <v>0</v>
          </cell>
          <cell r="AD595">
            <v>0</v>
          </cell>
          <cell r="AE595">
            <v>0</v>
          </cell>
          <cell r="AH595">
            <v>0</v>
          </cell>
          <cell r="AI595">
            <v>0</v>
          </cell>
          <cell r="AL595">
            <v>0.921822465611148</v>
          </cell>
          <cell r="AM595">
            <v>5.0700235608613138</v>
          </cell>
          <cell r="AP595">
            <v>0.94404780463653304</v>
          </cell>
          <cell r="AQ595">
            <v>5.1922629255009314</v>
          </cell>
        </row>
        <row r="596">
          <cell r="V596">
            <v>0</v>
          </cell>
          <cell r="W596">
            <v>0</v>
          </cell>
          <cell r="Z596">
            <v>0</v>
          </cell>
          <cell r="AA596">
            <v>0</v>
          </cell>
          <cell r="AD596">
            <v>0</v>
          </cell>
          <cell r="AE596">
            <v>0</v>
          </cell>
          <cell r="AH596">
            <v>0</v>
          </cell>
          <cell r="AI596">
            <v>0</v>
          </cell>
          <cell r="AL596">
            <v>1.3975115160312181</v>
          </cell>
          <cell r="AM596">
            <v>7.5465621865685781</v>
          </cell>
          <cell r="AP596">
            <v>1.4123010952511714</v>
          </cell>
          <cell r="AQ596">
            <v>7.6264259143563251</v>
          </cell>
        </row>
        <row r="597">
          <cell r="V597">
            <v>0</v>
          </cell>
          <cell r="W597">
            <v>0</v>
          </cell>
          <cell r="Z597">
            <v>0</v>
          </cell>
          <cell r="AA597">
            <v>0</v>
          </cell>
          <cell r="AD597">
            <v>0</v>
          </cell>
          <cell r="AE597">
            <v>0</v>
          </cell>
          <cell r="AH597">
            <v>0</v>
          </cell>
          <cell r="AI597">
            <v>0</v>
          </cell>
          <cell r="AL597">
            <v>0.77675906550328833</v>
          </cell>
          <cell r="AM597">
            <v>2.330277196509865</v>
          </cell>
          <cell r="AP597">
            <v>0.78947445204844202</v>
          </cell>
          <cell r="AQ597">
            <v>2.3684233561453261</v>
          </cell>
        </row>
        <row r="598">
          <cell r="V598">
            <v>0</v>
          </cell>
          <cell r="W598">
            <v>0</v>
          </cell>
          <cell r="Z598">
            <v>0</v>
          </cell>
          <cell r="AA598">
            <v>0</v>
          </cell>
          <cell r="AD598">
            <v>0</v>
          </cell>
          <cell r="AE598">
            <v>0</v>
          </cell>
          <cell r="AH598">
            <v>0</v>
          </cell>
          <cell r="AI598">
            <v>0</v>
          </cell>
          <cell r="AL598">
            <v>0</v>
          </cell>
          <cell r="AM598">
            <v>0</v>
          </cell>
          <cell r="AP598">
            <v>0</v>
          </cell>
          <cell r="AQ598">
            <v>0</v>
          </cell>
        </row>
        <row r="599">
          <cell r="V599">
            <v>0</v>
          </cell>
          <cell r="W599">
            <v>0</v>
          </cell>
          <cell r="Z599">
            <v>0</v>
          </cell>
          <cell r="AA599">
            <v>0</v>
          </cell>
          <cell r="AD599">
            <v>0</v>
          </cell>
          <cell r="AE599">
            <v>0</v>
          </cell>
          <cell r="AH599">
            <v>0</v>
          </cell>
          <cell r="AI599">
            <v>0</v>
          </cell>
          <cell r="AL599">
            <v>0</v>
          </cell>
          <cell r="AM599">
            <v>0</v>
          </cell>
          <cell r="AP599">
            <v>0</v>
          </cell>
          <cell r="AQ599">
            <v>0</v>
          </cell>
        </row>
        <row r="600">
          <cell r="V600">
            <v>0</v>
          </cell>
          <cell r="W600">
            <v>0</v>
          </cell>
          <cell r="Z600">
            <v>0</v>
          </cell>
          <cell r="AA600">
            <v>0</v>
          </cell>
          <cell r="AD600">
            <v>0</v>
          </cell>
          <cell r="AE600">
            <v>0</v>
          </cell>
          <cell r="AH600">
            <v>0</v>
          </cell>
          <cell r="AI600">
            <v>0</v>
          </cell>
          <cell r="AL600">
            <v>0</v>
          </cell>
          <cell r="AM600">
            <v>0</v>
          </cell>
          <cell r="AP600">
            <v>0</v>
          </cell>
          <cell r="AQ600">
            <v>0</v>
          </cell>
        </row>
        <row r="601">
          <cell r="V601">
            <v>0</v>
          </cell>
          <cell r="W601">
            <v>0</v>
          </cell>
          <cell r="Z601">
            <v>0</v>
          </cell>
          <cell r="AA601">
            <v>0</v>
          </cell>
          <cell r="AD601">
            <v>0</v>
          </cell>
          <cell r="AE601">
            <v>0</v>
          </cell>
          <cell r="AH601">
            <v>0</v>
          </cell>
          <cell r="AI601">
            <v>0</v>
          </cell>
          <cell r="AL601">
            <v>0</v>
          </cell>
          <cell r="AM601">
            <v>0</v>
          </cell>
          <cell r="AP601">
            <v>0</v>
          </cell>
          <cell r="AQ601">
            <v>0</v>
          </cell>
        </row>
        <row r="602">
          <cell r="V602">
            <v>0</v>
          </cell>
          <cell r="W602">
            <v>0</v>
          </cell>
          <cell r="Z602">
            <v>0</v>
          </cell>
          <cell r="AA602">
            <v>0</v>
          </cell>
          <cell r="AD602">
            <v>0</v>
          </cell>
          <cell r="AE602">
            <v>0</v>
          </cell>
          <cell r="AH602">
            <v>0</v>
          </cell>
          <cell r="AI602">
            <v>0</v>
          </cell>
          <cell r="AL602">
            <v>0</v>
          </cell>
          <cell r="AM602">
            <v>0</v>
          </cell>
          <cell r="AP602">
            <v>0</v>
          </cell>
          <cell r="AQ602">
            <v>0</v>
          </cell>
        </row>
        <row r="603">
          <cell r="V603">
            <v>0</v>
          </cell>
          <cell r="W603">
            <v>0</v>
          </cell>
          <cell r="Z603">
            <v>0</v>
          </cell>
          <cell r="AA603">
            <v>0</v>
          </cell>
          <cell r="AD603">
            <v>0</v>
          </cell>
          <cell r="AE603">
            <v>0</v>
          </cell>
          <cell r="AH603">
            <v>0</v>
          </cell>
          <cell r="AI603">
            <v>0</v>
          </cell>
          <cell r="AL603">
            <v>0</v>
          </cell>
          <cell r="AM603">
            <v>0</v>
          </cell>
          <cell r="AP603">
            <v>0</v>
          </cell>
          <cell r="AQ603">
            <v>0</v>
          </cell>
        </row>
        <row r="604">
          <cell r="V604">
            <v>0</v>
          </cell>
          <cell r="W604">
            <v>0</v>
          </cell>
          <cell r="Z604">
            <v>0</v>
          </cell>
          <cell r="AA604">
            <v>0</v>
          </cell>
          <cell r="AD604">
            <v>0</v>
          </cell>
          <cell r="AE604">
            <v>0</v>
          </cell>
          <cell r="AH604">
            <v>0</v>
          </cell>
          <cell r="AI604">
            <v>0</v>
          </cell>
          <cell r="AL604">
            <v>0</v>
          </cell>
          <cell r="AM604">
            <v>0</v>
          </cell>
          <cell r="AP604">
            <v>0</v>
          </cell>
          <cell r="AQ604">
            <v>0</v>
          </cell>
        </row>
        <row r="605">
          <cell r="V605">
            <v>0</v>
          </cell>
          <cell r="W605">
            <v>0</v>
          </cell>
          <cell r="Z605">
            <v>0</v>
          </cell>
          <cell r="AA605">
            <v>0</v>
          </cell>
          <cell r="AD605">
            <v>0</v>
          </cell>
          <cell r="AE605">
            <v>0</v>
          </cell>
          <cell r="AH605">
            <v>0</v>
          </cell>
          <cell r="AI605">
            <v>0</v>
          </cell>
          <cell r="AL605">
            <v>0</v>
          </cell>
          <cell r="AM605">
            <v>0</v>
          </cell>
          <cell r="AP605">
            <v>0</v>
          </cell>
          <cell r="AQ605">
            <v>0</v>
          </cell>
        </row>
        <row r="606">
          <cell r="V606">
            <v>0</v>
          </cell>
          <cell r="W606">
            <v>0</v>
          </cell>
          <cell r="Z606">
            <v>0</v>
          </cell>
          <cell r="AA606">
            <v>0</v>
          </cell>
          <cell r="AD606">
            <v>0</v>
          </cell>
          <cell r="AE606">
            <v>0</v>
          </cell>
          <cell r="AH606">
            <v>0</v>
          </cell>
          <cell r="AI606">
            <v>0</v>
          </cell>
          <cell r="AL606">
            <v>0</v>
          </cell>
          <cell r="AM606">
            <v>0</v>
          </cell>
          <cell r="AP606">
            <v>0</v>
          </cell>
          <cell r="AQ606">
            <v>0</v>
          </cell>
        </row>
        <row r="607">
          <cell r="V607">
            <v>0</v>
          </cell>
          <cell r="W607">
            <v>0</v>
          </cell>
          <cell r="Z607">
            <v>0</v>
          </cell>
          <cell r="AA607">
            <v>0</v>
          </cell>
          <cell r="AD607">
            <v>0</v>
          </cell>
          <cell r="AE607">
            <v>0</v>
          </cell>
          <cell r="AH607">
            <v>0</v>
          </cell>
          <cell r="AI607">
            <v>0</v>
          </cell>
          <cell r="AL607">
            <v>0</v>
          </cell>
          <cell r="AM607">
            <v>0</v>
          </cell>
          <cell r="AP607">
            <v>0</v>
          </cell>
          <cell r="AQ607">
            <v>0</v>
          </cell>
        </row>
        <row r="608">
          <cell r="V608">
            <v>0</v>
          </cell>
          <cell r="W608">
            <v>0</v>
          </cell>
          <cell r="Z608">
            <v>0</v>
          </cell>
          <cell r="AA608">
            <v>0</v>
          </cell>
          <cell r="AD608">
            <v>0</v>
          </cell>
          <cell r="AE608">
            <v>0</v>
          </cell>
          <cell r="AH608">
            <v>0</v>
          </cell>
          <cell r="AI608">
            <v>0</v>
          </cell>
          <cell r="AL608">
            <v>0</v>
          </cell>
          <cell r="AM608">
            <v>0</v>
          </cell>
          <cell r="AP608">
            <v>0</v>
          </cell>
          <cell r="AQ608">
            <v>0</v>
          </cell>
        </row>
        <row r="609">
          <cell r="V609">
            <v>0</v>
          </cell>
          <cell r="W609">
            <v>0</v>
          </cell>
          <cell r="Z609">
            <v>0</v>
          </cell>
          <cell r="AA609">
            <v>0</v>
          </cell>
          <cell r="AD609">
            <v>0</v>
          </cell>
          <cell r="AE609">
            <v>0</v>
          </cell>
          <cell r="AH609">
            <v>0</v>
          </cell>
          <cell r="AI609">
            <v>0</v>
          </cell>
          <cell r="AL609">
            <v>0</v>
          </cell>
          <cell r="AM609">
            <v>0</v>
          </cell>
          <cell r="AP609">
            <v>0</v>
          </cell>
          <cell r="AQ609">
            <v>0</v>
          </cell>
        </row>
        <row r="610">
          <cell r="V610">
            <v>0</v>
          </cell>
          <cell r="W610">
            <v>0</v>
          </cell>
          <cell r="Z610">
            <v>0</v>
          </cell>
          <cell r="AA610">
            <v>0</v>
          </cell>
          <cell r="AD610">
            <v>0</v>
          </cell>
          <cell r="AE610">
            <v>0</v>
          </cell>
          <cell r="AH610">
            <v>0</v>
          </cell>
          <cell r="AI610">
            <v>0</v>
          </cell>
          <cell r="AL610">
            <v>0</v>
          </cell>
          <cell r="AM610">
            <v>0</v>
          </cell>
          <cell r="AP610">
            <v>0</v>
          </cell>
          <cell r="AQ610">
            <v>0</v>
          </cell>
        </row>
        <row r="611">
          <cell r="V611">
            <v>0</v>
          </cell>
          <cell r="W611">
            <v>0</v>
          </cell>
          <cell r="Z611">
            <v>0</v>
          </cell>
          <cell r="AA611">
            <v>0</v>
          </cell>
          <cell r="AD611">
            <v>0</v>
          </cell>
          <cell r="AE611">
            <v>0</v>
          </cell>
          <cell r="AH611">
            <v>0</v>
          </cell>
          <cell r="AI611">
            <v>0</v>
          </cell>
          <cell r="AL611">
            <v>0</v>
          </cell>
          <cell r="AM611">
            <v>0</v>
          </cell>
          <cell r="AP611">
            <v>0</v>
          </cell>
          <cell r="AQ611">
            <v>0</v>
          </cell>
        </row>
        <row r="612">
          <cell r="V612">
            <v>0</v>
          </cell>
          <cell r="W612">
            <v>0</v>
          </cell>
          <cell r="Z612">
            <v>0</v>
          </cell>
          <cell r="AA612">
            <v>0</v>
          </cell>
          <cell r="AD612">
            <v>0</v>
          </cell>
          <cell r="AE612">
            <v>0</v>
          </cell>
          <cell r="AH612">
            <v>0</v>
          </cell>
          <cell r="AI612">
            <v>0</v>
          </cell>
          <cell r="AL612">
            <v>0</v>
          </cell>
          <cell r="AM612">
            <v>0</v>
          </cell>
          <cell r="AP612">
            <v>0</v>
          </cell>
          <cell r="AQ612">
            <v>0</v>
          </cell>
        </row>
        <row r="613">
          <cell r="V613">
            <v>0</v>
          </cell>
          <cell r="W613">
            <v>0</v>
          </cell>
          <cell r="Z613">
            <v>0</v>
          </cell>
          <cell r="AA613">
            <v>0</v>
          </cell>
          <cell r="AD613">
            <v>0</v>
          </cell>
          <cell r="AE613">
            <v>0</v>
          </cell>
          <cell r="AH613">
            <v>0</v>
          </cell>
          <cell r="AI613">
            <v>0</v>
          </cell>
          <cell r="AL613">
            <v>0</v>
          </cell>
          <cell r="AM613">
            <v>0</v>
          </cell>
          <cell r="AP613">
            <v>0</v>
          </cell>
          <cell r="AQ613">
            <v>0</v>
          </cell>
        </row>
        <row r="614">
          <cell r="V614">
            <v>0</v>
          </cell>
          <cell r="W614">
            <v>0</v>
          </cell>
          <cell r="Z614">
            <v>0</v>
          </cell>
          <cell r="AA614">
            <v>0</v>
          </cell>
          <cell r="AD614">
            <v>0</v>
          </cell>
          <cell r="AE614">
            <v>0</v>
          </cell>
          <cell r="AH614">
            <v>0</v>
          </cell>
          <cell r="AI614">
            <v>0</v>
          </cell>
          <cell r="AL614">
            <v>0</v>
          </cell>
          <cell r="AM614">
            <v>0</v>
          </cell>
          <cell r="AP614">
            <v>0</v>
          </cell>
          <cell r="AQ614">
            <v>0</v>
          </cell>
        </row>
        <row r="615">
          <cell r="V615">
            <v>0</v>
          </cell>
          <cell r="W615">
            <v>0</v>
          </cell>
          <cell r="Z615">
            <v>0</v>
          </cell>
          <cell r="AA615">
            <v>0</v>
          </cell>
          <cell r="AD615">
            <v>0</v>
          </cell>
          <cell r="AE615">
            <v>0</v>
          </cell>
          <cell r="AH615">
            <v>0</v>
          </cell>
          <cell r="AI615">
            <v>0</v>
          </cell>
          <cell r="AL615">
            <v>0</v>
          </cell>
          <cell r="AM615">
            <v>0</v>
          </cell>
          <cell r="AP615">
            <v>0</v>
          </cell>
          <cell r="AQ615">
            <v>0</v>
          </cell>
        </row>
        <row r="616">
          <cell r="V616">
            <v>0</v>
          </cell>
          <cell r="W616">
            <v>0</v>
          </cell>
          <cell r="Z616">
            <v>0</v>
          </cell>
          <cell r="AA616">
            <v>0</v>
          </cell>
          <cell r="AD616">
            <v>0</v>
          </cell>
          <cell r="AE616">
            <v>0</v>
          </cell>
          <cell r="AH616">
            <v>0</v>
          </cell>
          <cell r="AI616">
            <v>0</v>
          </cell>
          <cell r="AL616">
            <v>0</v>
          </cell>
          <cell r="AM616">
            <v>0</v>
          </cell>
          <cell r="AP616">
            <v>0</v>
          </cell>
          <cell r="AQ616">
            <v>0</v>
          </cell>
        </row>
        <row r="617">
          <cell r="V617">
            <v>0</v>
          </cell>
          <cell r="W617">
            <v>0</v>
          </cell>
          <cell r="Z617">
            <v>0</v>
          </cell>
          <cell r="AA617">
            <v>0</v>
          </cell>
          <cell r="AD617">
            <v>0</v>
          </cell>
          <cell r="AE617">
            <v>0</v>
          </cell>
          <cell r="AH617">
            <v>0</v>
          </cell>
          <cell r="AI617">
            <v>0</v>
          </cell>
          <cell r="AL617">
            <v>0</v>
          </cell>
          <cell r="AM617">
            <v>0</v>
          </cell>
          <cell r="AP617">
            <v>0</v>
          </cell>
          <cell r="AQ617">
            <v>0</v>
          </cell>
        </row>
        <row r="618">
          <cell r="V618">
            <v>0</v>
          </cell>
          <cell r="W618">
            <v>0</v>
          </cell>
          <cell r="Z618">
            <v>0</v>
          </cell>
          <cell r="AA618">
            <v>0</v>
          </cell>
          <cell r="AD618">
            <v>0</v>
          </cell>
          <cell r="AE618">
            <v>0</v>
          </cell>
          <cell r="AH618">
            <v>0</v>
          </cell>
          <cell r="AI618">
            <v>0</v>
          </cell>
          <cell r="AL618">
            <v>0</v>
          </cell>
          <cell r="AM618">
            <v>0</v>
          </cell>
          <cell r="AP618">
            <v>0</v>
          </cell>
          <cell r="AQ618">
            <v>0</v>
          </cell>
        </row>
        <row r="619">
          <cell r="V619">
            <v>0</v>
          </cell>
          <cell r="W619">
            <v>0</v>
          </cell>
          <cell r="Z619">
            <v>0</v>
          </cell>
          <cell r="AA619">
            <v>0</v>
          </cell>
          <cell r="AD619">
            <v>0</v>
          </cell>
          <cell r="AE619">
            <v>0</v>
          </cell>
          <cell r="AH619">
            <v>0</v>
          </cell>
          <cell r="AI619">
            <v>0</v>
          </cell>
          <cell r="AL619">
            <v>0</v>
          </cell>
          <cell r="AM619">
            <v>0</v>
          </cell>
          <cell r="AP619">
            <v>0</v>
          </cell>
          <cell r="AQ619">
            <v>0</v>
          </cell>
        </row>
        <row r="620">
          <cell r="V620">
            <v>0</v>
          </cell>
          <cell r="W620">
            <v>0</v>
          </cell>
          <cell r="Z620">
            <v>0</v>
          </cell>
          <cell r="AA620">
            <v>0</v>
          </cell>
          <cell r="AD620">
            <v>0</v>
          </cell>
          <cell r="AE620">
            <v>0</v>
          </cell>
          <cell r="AH620">
            <v>0</v>
          </cell>
          <cell r="AI620">
            <v>0</v>
          </cell>
          <cell r="AL620">
            <v>0</v>
          </cell>
          <cell r="AM620">
            <v>0</v>
          </cell>
          <cell r="AP620">
            <v>0</v>
          </cell>
          <cell r="AQ620">
            <v>0</v>
          </cell>
        </row>
        <row r="621">
          <cell r="V621">
            <v>0</v>
          </cell>
          <cell r="W621">
            <v>0</v>
          </cell>
          <cell r="Z621">
            <v>0</v>
          </cell>
          <cell r="AA621">
            <v>0</v>
          </cell>
          <cell r="AD621">
            <v>0</v>
          </cell>
          <cell r="AE621">
            <v>0</v>
          </cell>
          <cell r="AH621">
            <v>0</v>
          </cell>
          <cell r="AI621">
            <v>0</v>
          </cell>
          <cell r="AL621">
            <v>0</v>
          </cell>
          <cell r="AM621">
            <v>0</v>
          </cell>
          <cell r="AP621">
            <v>0</v>
          </cell>
          <cell r="AQ621">
            <v>0</v>
          </cell>
        </row>
        <row r="622">
          <cell r="V622">
            <v>0</v>
          </cell>
          <cell r="W622">
            <v>0</v>
          </cell>
          <cell r="Z622">
            <v>0</v>
          </cell>
          <cell r="AA622">
            <v>0</v>
          </cell>
          <cell r="AD622">
            <v>0</v>
          </cell>
          <cell r="AE622">
            <v>0</v>
          </cell>
          <cell r="AH622">
            <v>0</v>
          </cell>
          <cell r="AI622">
            <v>0</v>
          </cell>
          <cell r="AL622">
            <v>0</v>
          </cell>
          <cell r="AM622">
            <v>0</v>
          </cell>
          <cell r="AP622">
            <v>0</v>
          </cell>
          <cell r="AQ622">
            <v>0</v>
          </cell>
        </row>
        <row r="623">
          <cell r="V623">
            <v>0</v>
          </cell>
          <cell r="W623">
            <v>0</v>
          </cell>
          <cell r="Z623">
            <v>0</v>
          </cell>
          <cell r="AA623">
            <v>0</v>
          </cell>
          <cell r="AD623">
            <v>0</v>
          </cell>
          <cell r="AE623">
            <v>0</v>
          </cell>
          <cell r="AH623">
            <v>0</v>
          </cell>
          <cell r="AI623">
            <v>0</v>
          </cell>
          <cell r="AL623">
            <v>0</v>
          </cell>
          <cell r="AM623">
            <v>0</v>
          </cell>
          <cell r="AP623">
            <v>0</v>
          </cell>
          <cell r="AQ623">
            <v>0</v>
          </cell>
        </row>
        <row r="624">
          <cell r="V624">
            <v>0</v>
          </cell>
          <cell r="W624">
            <v>0</v>
          </cell>
          <cell r="Z624">
            <v>0</v>
          </cell>
          <cell r="AA624">
            <v>0</v>
          </cell>
          <cell r="AD624">
            <v>0</v>
          </cell>
          <cell r="AE624">
            <v>0</v>
          </cell>
          <cell r="AH624">
            <v>0</v>
          </cell>
          <cell r="AI624">
            <v>0</v>
          </cell>
          <cell r="AL624">
            <v>0</v>
          </cell>
          <cell r="AM624">
            <v>0</v>
          </cell>
          <cell r="AP624">
            <v>0</v>
          </cell>
          <cell r="AQ624">
            <v>0</v>
          </cell>
        </row>
        <row r="625">
          <cell r="V625">
            <v>0</v>
          </cell>
          <cell r="W625">
            <v>0</v>
          </cell>
          <cell r="Z625">
            <v>0</v>
          </cell>
          <cell r="AA625">
            <v>0</v>
          </cell>
          <cell r="AD625">
            <v>0</v>
          </cell>
          <cell r="AE625">
            <v>0</v>
          </cell>
          <cell r="AH625">
            <v>0</v>
          </cell>
          <cell r="AI625">
            <v>0</v>
          </cell>
          <cell r="AL625">
            <v>0</v>
          </cell>
          <cell r="AM625">
            <v>0</v>
          </cell>
          <cell r="AP625">
            <v>0</v>
          </cell>
          <cell r="AQ625">
            <v>0</v>
          </cell>
        </row>
        <row r="626">
          <cell r="V626">
            <v>0</v>
          </cell>
          <cell r="W626">
            <v>0</v>
          </cell>
          <cell r="Z626">
            <v>0</v>
          </cell>
          <cell r="AA626">
            <v>0</v>
          </cell>
          <cell r="AD626">
            <v>0</v>
          </cell>
          <cell r="AE626">
            <v>0</v>
          </cell>
          <cell r="AH626">
            <v>0</v>
          </cell>
          <cell r="AI626">
            <v>0</v>
          </cell>
          <cell r="AL626">
            <v>0</v>
          </cell>
          <cell r="AM626">
            <v>0</v>
          </cell>
          <cell r="AP626">
            <v>0</v>
          </cell>
          <cell r="AQ626">
            <v>0</v>
          </cell>
        </row>
        <row r="627">
          <cell r="V627">
            <v>0</v>
          </cell>
          <cell r="W627">
            <v>0</v>
          </cell>
          <cell r="Z627">
            <v>0</v>
          </cell>
          <cell r="AA627">
            <v>0</v>
          </cell>
          <cell r="AD627">
            <v>0</v>
          </cell>
          <cell r="AE627">
            <v>0</v>
          </cell>
          <cell r="AH627">
            <v>0</v>
          </cell>
          <cell r="AI627">
            <v>0</v>
          </cell>
          <cell r="AL627">
            <v>0</v>
          </cell>
          <cell r="AM627">
            <v>0</v>
          </cell>
          <cell r="AP627">
            <v>0</v>
          </cell>
          <cell r="AQ627">
            <v>0</v>
          </cell>
        </row>
        <row r="628">
          <cell r="V628">
            <v>0</v>
          </cell>
          <cell r="W628">
            <v>0</v>
          </cell>
          <cell r="Z628">
            <v>0</v>
          </cell>
          <cell r="AA628">
            <v>0</v>
          </cell>
          <cell r="AD628">
            <v>0</v>
          </cell>
          <cell r="AE628">
            <v>0</v>
          </cell>
          <cell r="AH628">
            <v>0</v>
          </cell>
          <cell r="AI628">
            <v>0</v>
          </cell>
          <cell r="AL628">
            <v>0</v>
          </cell>
          <cell r="AM628">
            <v>0</v>
          </cell>
          <cell r="AP628">
            <v>0</v>
          </cell>
          <cell r="AQ628">
            <v>0</v>
          </cell>
        </row>
        <row r="629">
          <cell r="V629">
            <v>0</v>
          </cell>
          <cell r="W629">
            <v>0</v>
          </cell>
          <cell r="Z629">
            <v>0</v>
          </cell>
          <cell r="AA629">
            <v>0</v>
          </cell>
          <cell r="AD629">
            <v>0</v>
          </cell>
          <cell r="AE629">
            <v>0</v>
          </cell>
          <cell r="AH629">
            <v>0</v>
          </cell>
          <cell r="AI629">
            <v>0</v>
          </cell>
          <cell r="AL629">
            <v>0</v>
          </cell>
          <cell r="AM629">
            <v>0</v>
          </cell>
          <cell r="AP629">
            <v>0</v>
          </cell>
          <cell r="AQ629">
            <v>0</v>
          </cell>
        </row>
        <row r="630">
          <cell r="V630">
            <v>0</v>
          </cell>
          <cell r="W630">
            <v>0</v>
          </cell>
          <cell r="Z630">
            <v>0</v>
          </cell>
          <cell r="AA630">
            <v>0</v>
          </cell>
          <cell r="AD630">
            <v>0</v>
          </cell>
          <cell r="AE630">
            <v>0</v>
          </cell>
          <cell r="AH630">
            <v>0</v>
          </cell>
          <cell r="AI630">
            <v>0</v>
          </cell>
          <cell r="AL630">
            <v>0</v>
          </cell>
          <cell r="AM630">
            <v>0</v>
          </cell>
          <cell r="AP630">
            <v>0</v>
          </cell>
          <cell r="AQ630">
            <v>0</v>
          </cell>
        </row>
        <row r="631">
          <cell r="V631">
            <v>0</v>
          </cell>
          <cell r="W631">
            <v>0</v>
          </cell>
          <cell r="Z631">
            <v>0</v>
          </cell>
          <cell r="AA631">
            <v>0</v>
          </cell>
          <cell r="AD631">
            <v>0</v>
          </cell>
          <cell r="AE631">
            <v>0</v>
          </cell>
          <cell r="AH631">
            <v>0</v>
          </cell>
          <cell r="AI631">
            <v>0</v>
          </cell>
          <cell r="AL631">
            <v>0</v>
          </cell>
          <cell r="AM631">
            <v>0</v>
          </cell>
          <cell r="AP631">
            <v>0</v>
          </cell>
          <cell r="AQ631">
            <v>0</v>
          </cell>
        </row>
        <row r="632">
          <cell r="V632">
            <v>0</v>
          </cell>
          <cell r="W632">
            <v>0</v>
          </cell>
          <cell r="Z632">
            <v>0</v>
          </cell>
          <cell r="AA632">
            <v>0</v>
          </cell>
          <cell r="AD632">
            <v>0</v>
          </cell>
          <cell r="AE632">
            <v>0</v>
          </cell>
          <cell r="AH632">
            <v>0</v>
          </cell>
          <cell r="AI632">
            <v>0</v>
          </cell>
          <cell r="AL632">
            <v>0</v>
          </cell>
          <cell r="AM632">
            <v>0</v>
          </cell>
          <cell r="AP632">
            <v>0</v>
          </cell>
          <cell r="AQ632">
            <v>0</v>
          </cell>
        </row>
        <row r="633">
          <cell r="V633">
            <v>0</v>
          </cell>
          <cell r="W633">
            <v>0</v>
          </cell>
          <cell r="Z633">
            <v>0</v>
          </cell>
          <cell r="AA633">
            <v>0</v>
          </cell>
          <cell r="AD633">
            <v>0</v>
          </cell>
          <cell r="AE633">
            <v>0</v>
          </cell>
          <cell r="AH633">
            <v>0</v>
          </cell>
          <cell r="AI633">
            <v>0</v>
          </cell>
          <cell r="AL633">
            <v>0</v>
          </cell>
          <cell r="AM633">
            <v>0</v>
          </cell>
          <cell r="AP633">
            <v>0</v>
          </cell>
          <cell r="AQ633">
            <v>0</v>
          </cell>
        </row>
        <row r="634">
          <cell r="V634">
            <v>0</v>
          </cell>
          <cell r="W634">
            <v>0</v>
          </cell>
          <cell r="Z634">
            <v>0</v>
          </cell>
          <cell r="AA634">
            <v>0</v>
          </cell>
          <cell r="AD634">
            <v>0</v>
          </cell>
          <cell r="AE634">
            <v>0</v>
          </cell>
          <cell r="AH634">
            <v>0</v>
          </cell>
          <cell r="AI634">
            <v>0</v>
          </cell>
          <cell r="AL634">
            <v>0</v>
          </cell>
          <cell r="AM634">
            <v>0</v>
          </cell>
          <cell r="AP634">
            <v>0</v>
          </cell>
          <cell r="AQ634">
            <v>0</v>
          </cell>
        </row>
        <row r="635">
          <cell r="V635">
            <v>0</v>
          </cell>
          <cell r="W635">
            <v>0</v>
          </cell>
          <cell r="Z635">
            <v>0</v>
          </cell>
          <cell r="AA635">
            <v>0</v>
          </cell>
          <cell r="AD635">
            <v>0</v>
          </cell>
          <cell r="AE635">
            <v>0</v>
          </cell>
          <cell r="AH635">
            <v>0</v>
          </cell>
          <cell r="AI635">
            <v>0</v>
          </cell>
          <cell r="AL635">
            <v>0</v>
          </cell>
          <cell r="AM635">
            <v>0</v>
          </cell>
          <cell r="AP635">
            <v>0</v>
          </cell>
          <cell r="AQ635">
            <v>0</v>
          </cell>
        </row>
        <row r="636">
          <cell r="V636">
            <v>0</v>
          </cell>
          <cell r="W636">
            <v>0</v>
          </cell>
          <cell r="Z636">
            <v>0</v>
          </cell>
          <cell r="AA636">
            <v>0</v>
          </cell>
          <cell r="AD636">
            <v>0</v>
          </cell>
          <cell r="AE636">
            <v>0</v>
          </cell>
          <cell r="AH636">
            <v>0</v>
          </cell>
          <cell r="AI636">
            <v>0</v>
          </cell>
          <cell r="AL636">
            <v>0</v>
          </cell>
          <cell r="AM636">
            <v>0</v>
          </cell>
          <cell r="AP636">
            <v>0</v>
          </cell>
          <cell r="AQ636">
            <v>0</v>
          </cell>
        </row>
        <row r="637">
          <cell r="V637">
            <v>0</v>
          </cell>
          <cell r="W637">
            <v>0</v>
          </cell>
          <cell r="Z637">
            <v>0</v>
          </cell>
          <cell r="AA637">
            <v>0</v>
          </cell>
          <cell r="AD637">
            <v>0</v>
          </cell>
          <cell r="AE637">
            <v>0</v>
          </cell>
          <cell r="AH637">
            <v>0</v>
          </cell>
          <cell r="AI637">
            <v>0</v>
          </cell>
          <cell r="AL637">
            <v>0</v>
          </cell>
          <cell r="AM637">
            <v>0</v>
          </cell>
          <cell r="AP637">
            <v>0</v>
          </cell>
          <cell r="AQ637">
            <v>0</v>
          </cell>
        </row>
        <row r="638">
          <cell r="V638">
            <v>0</v>
          </cell>
          <cell r="W638">
            <v>0</v>
          </cell>
          <cell r="Z638">
            <v>0</v>
          </cell>
          <cell r="AA638">
            <v>0</v>
          </cell>
          <cell r="AD638">
            <v>0</v>
          </cell>
          <cell r="AE638">
            <v>0</v>
          </cell>
          <cell r="AH638">
            <v>0</v>
          </cell>
          <cell r="AI638">
            <v>0</v>
          </cell>
          <cell r="AL638">
            <v>0</v>
          </cell>
          <cell r="AM638">
            <v>0</v>
          </cell>
          <cell r="AP638">
            <v>0</v>
          </cell>
          <cell r="AQ638">
            <v>0</v>
          </cell>
        </row>
        <row r="639">
          <cell r="V639">
            <v>0</v>
          </cell>
          <cell r="W639">
            <v>0</v>
          </cell>
          <cell r="Z639">
            <v>0</v>
          </cell>
          <cell r="AA639">
            <v>0</v>
          </cell>
          <cell r="AD639">
            <v>0</v>
          </cell>
          <cell r="AE639">
            <v>0</v>
          </cell>
          <cell r="AH639">
            <v>0</v>
          </cell>
          <cell r="AI639">
            <v>0</v>
          </cell>
          <cell r="AL639">
            <v>0</v>
          </cell>
          <cell r="AM639">
            <v>0</v>
          </cell>
          <cell r="AP639">
            <v>0</v>
          </cell>
          <cell r="AQ639">
            <v>0</v>
          </cell>
        </row>
        <row r="640">
          <cell r="V640">
            <v>0</v>
          </cell>
          <cell r="W640">
            <v>0</v>
          </cell>
          <cell r="Z640">
            <v>0</v>
          </cell>
          <cell r="AA640">
            <v>0</v>
          </cell>
          <cell r="AD640">
            <v>0</v>
          </cell>
          <cell r="AE640">
            <v>0</v>
          </cell>
          <cell r="AH640">
            <v>0</v>
          </cell>
          <cell r="AI640">
            <v>0</v>
          </cell>
          <cell r="AL640">
            <v>0</v>
          </cell>
          <cell r="AM640">
            <v>0</v>
          </cell>
          <cell r="AP640">
            <v>0</v>
          </cell>
          <cell r="AQ640">
            <v>0</v>
          </cell>
        </row>
        <row r="641">
          <cell r="V641">
            <v>0</v>
          </cell>
          <cell r="W641">
            <v>0</v>
          </cell>
          <cell r="Z641">
            <v>0</v>
          </cell>
          <cell r="AA641">
            <v>0</v>
          </cell>
          <cell r="AD641">
            <v>0</v>
          </cell>
          <cell r="AE641">
            <v>0</v>
          </cell>
          <cell r="AH641">
            <v>0</v>
          </cell>
          <cell r="AI641">
            <v>0</v>
          </cell>
          <cell r="AL641">
            <v>0</v>
          </cell>
          <cell r="AM641">
            <v>0</v>
          </cell>
          <cell r="AP641">
            <v>0</v>
          </cell>
          <cell r="AQ641">
            <v>0</v>
          </cell>
        </row>
        <row r="642">
          <cell r="V642">
            <v>0</v>
          </cell>
          <cell r="W642">
            <v>0</v>
          </cell>
          <cell r="Z642">
            <v>0</v>
          </cell>
          <cell r="AA642">
            <v>0</v>
          </cell>
          <cell r="AD642">
            <v>0</v>
          </cell>
          <cell r="AE642">
            <v>0</v>
          </cell>
          <cell r="AH642">
            <v>0</v>
          </cell>
          <cell r="AI642">
            <v>0</v>
          </cell>
          <cell r="AL642">
            <v>0</v>
          </cell>
          <cell r="AM642">
            <v>0</v>
          </cell>
          <cell r="AP642">
            <v>0</v>
          </cell>
          <cell r="AQ642">
            <v>0</v>
          </cell>
        </row>
        <row r="643">
          <cell r="V643">
            <v>0</v>
          </cell>
          <cell r="W643">
            <v>0</v>
          </cell>
          <cell r="Z643">
            <v>0</v>
          </cell>
          <cell r="AA643">
            <v>0</v>
          </cell>
          <cell r="AD643">
            <v>0</v>
          </cell>
          <cell r="AE643">
            <v>0</v>
          </cell>
          <cell r="AH643">
            <v>0</v>
          </cell>
          <cell r="AI643">
            <v>0</v>
          </cell>
          <cell r="AL643">
            <v>0</v>
          </cell>
          <cell r="AM643">
            <v>0</v>
          </cell>
          <cell r="AP643">
            <v>0</v>
          </cell>
          <cell r="AQ643">
            <v>0</v>
          </cell>
        </row>
        <row r="644">
          <cell r="V644">
            <v>0</v>
          </cell>
          <cell r="W644">
            <v>0</v>
          </cell>
          <cell r="Z644">
            <v>0</v>
          </cell>
          <cell r="AA644">
            <v>0</v>
          </cell>
          <cell r="AD644">
            <v>0</v>
          </cell>
          <cell r="AE644">
            <v>0</v>
          </cell>
          <cell r="AH644">
            <v>0</v>
          </cell>
          <cell r="AI644">
            <v>0</v>
          </cell>
          <cell r="AL644">
            <v>0</v>
          </cell>
          <cell r="AM644">
            <v>0</v>
          </cell>
          <cell r="AP644">
            <v>0</v>
          </cell>
          <cell r="AQ644">
            <v>0</v>
          </cell>
        </row>
        <row r="645">
          <cell r="V645">
            <v>0</v>
          </cell>
          <cell r="W645">
            <v>0</v>
          </cell>
          <cell r="Z645">
            <v>0</v>
          </cell>
          <cell r="AA645">
            <v>0</v>
          </cell>
          <cell r="AD645">
            <v>0</v>
          </cell>
          <cell r="AE645">
            <v>0</v>
          </cell>
          <cell r="AH645">
            <v>0</v>
          </cell>
          <cell r="AI645">
            <v>0</v>
          </cell>
          <cell r="AL645">
            <v>0</v>
          </cell>
          <cell r="AM645">
            <v>0</v>
          </cell>
          <cell r="AP645">
            <v>0</v>
          </cell>
          <cell r="AQ645">
            <v>0</v>
          </cell>
        </row>
        <row r="646">
          <cell r="V646">
            <v>0</v>
          </cell>
          <cell r="W646">
            <v>0</v>
          </cell>
          <cell r="Z646">
            <v>0</v>
          </cell>
          <cell r="AA646">
            <v>0</v>
          </cell>
          <cell r="AD646">
            <v>0</v>
          </cell>
          <cell r="AE646">
            <v>0</v>
          </cell>
          <cell r="AH646">
            <v>0</v>
          </cell>
          <cell r="AI646">
            <v>0</v>
          </cell>
          <cell r="AL646">
            <v>0</v>
          </cell>
          <cell r="AM646">
            <v>0</v>
          </cell>
          <cell r="AP646">
            <v>0</v>
          </cell>
          <cell r="AQ646">
            <v>0</v>
          </cell>
        </row>
        <row r="647">
          <cell r="V647">
            <v>7.3235846950594645</v>
          </cell>
          <cell r="W647">
            <v>19.17055993706742</v>
          </cell>
          <cell r="Z647">
            <v>9.1253765189192322</v>
          </cell>
          <cell r="AA647">
            <v>23.887015005406223</v>
          </cell>
          <cell r="AD647">
            <v>10.24940613850135</v>
          </cell>
          <cell r="AE647">
            <v>26.829327833135885</v>
          </cell>
          <cell r="AH647">
            <v>12.825446765054719</v>
          </cell>
          <cell r="AI647">
            <v>33.572493002643235</v>
          </cell>
          <cell r="AL647">
            <v>15.609123271590715</v>
          </cell>
          <cell r="AM647">
            <v>40.859175622693343</v>
          </cell>
          <cell r="AP647">
            <v>17.316459103301614</v>
          </cell>
          <cell r="AQ647">
            <v>45.328378240995406</v>
          </cell>
        </row>
        <row r="648">
          <cell r="V648">
            <v>0</v>
          </cell>
          <cell r="W648">
            <v>0</v>
          </cell>
          <cell r="Z648">
            <v>0</v>
          </cell>
          <cell r="AA648">
            <v>0</v>
          </cell>
          <cell r="AD648">
            <v>0</v>
          </cell>
          <cell r="AE648">
            <v>0</v>
          </cell>
          <cell r="AH648">
            <v>0</v>
          </cell>
          <cell r="AI648">
            <v>0</v>
          </cell>
          <cell r="AL648">
            <v>0</v>
          </cell>
          <cell r="AM648">
            <v>0</v>
          </cell>
          <cell r="AP648">
            <v>0</v>
          </cell>
          <cell r="AQ648">
            <v>0</v>
          </cell>
        </row>
        <row r="649">
          <cell r="V649">
            <v>0.31944699571757612</v>
          </cell>
          <cell r="W649">
            <v>0.95572256915504328</v>
          </cell>
          <cell r="Z649">
            <v>0.43866864967340963</v>
          </cell>
          <cell r="AA649">
            <v>1.3124103043507747</v>
          </cell>
          <cell r="AD649">
            <v>0.62605037169323463</v>
          </cell>
          <cell r="AE649">
            <v>1.8730195546559889</v>
          </cell>
          <cell r="AH649">
            <v>1.578974477504461</v>
          </cell>
          <cell r="AI649">
            <v>4.7239810187633466</v>
          </cell>
          <cell r="AL649">
            <v>2.227389352369884</v>
          </cell>
          <cell r="AM649">
            <v>6.6639107673361284</v>
          </cell>
          <cell r="AP649">
            <v>2.6160283971560876</v>
          </cell>
          <cell r="AQ649">
            <v>7.8266423357538688</v>
          </cell>
        </row>
        <row r="650">
          <cell r="V650">
            <v>0</v>
          </cell>
          <cell r="W650">
            <v>0</v>
          </cell>
          <cell r="Z650">
            <v>0</v>
          </cell>
          <cell r="AA650">
            <v>0</v>
          </cell>
          <cell r="AD650">
            <v>0</v>
          </cell>
          <cell r="AE650">
            <v>0</v>
          </cell>
          <cell r="AH650">
            <v>0</v>
          </cell>
          <cell r="AI650">
            <v>0</v>
          </cell>
          <cell r="AL650">
            <v>0</v>
          </cell>
          <cell r="AM650">
            <v>0</v>
          </cell>
          <cell r="AP650">
            <v>0</v>
          </cell>
          <cell r="AQ650">
            <v>0</v>
          </cell>
        </row>
        <row r="651">
          <cell r="V651">
            <v>0</v>
          </cell>
          <cell r="W651">
            <v>0</v>
          </cell>
          <cell r="Z651">
            <v>0</v>
          </cell>
          <cell r="AA651">
            <v>0</v>
          </cell>
          <cell r="AD651">
            <v>0</v>
          </cell>
          <cell r="AE651">
            <v>0</v>
          </cell>
          <cell r="AH651">
            <v>0</v>
          </cell>
          <cell r="AI651">
            <v>0</v>
          </cell>
          <cell r="AL651">
            <v>0</v>
          </cell>
          <cell r="AM651">
            <v>0</v>
          </cell>
          <cell r="AP651">
            <v>0</v>
          </cell>
          <cell r="AQ651">
            <v>0</v>
          </cell>
        </row>
        <row r="652">
          <cell r="V652">
            <v>0</v>
          </cell>
          <cell r="W652">
            <v>0</v>
          </cell>
          <cell r="Z652">
            <v>0</v>
          </cell>
          <cell r="AA652">
            <v>0</v>
          </cell>
          <cell r="AD652">
            <v>0</v>
          </cell>
          <cell r="AE652">
            <v>0</v>
          </cell>
          <cell r="AH652">
            <v>0</v>
          </cell>
          <cell r="AI652">
            <v>0</v>
          </cell>
          <cell r="AL652">
            <v>0</v>
          </cell>
          <cell r="AM652">
            <v>0</v>
          </cell>
          <cell r="AP652">
            <v>0</v>
          </cell>
          <cell r="AQ652">
            <v>0</v>
          </cell>
        </row>
        <row r="653">
          <cell r="V653">
            <v>0</v>
          </cell>
          <cell r="W653">
            <v>0</v>
          </cell>
          <cell r="Z653">
            <v>0</v>
          </cell>
          <cell r="AA653">
            <v>0</v>
          </cell>
          <cell r="AD653">
            <v>0</v>
          </cell>
          <cell r="AE653">
            <v>0</v>
          </cell>
          <cell r="AH653">
            <v>0</v>
          </cell>
          <cell r="AI653">
            <v>0</v>
          </cell>
          <cell r="AL653">
            <v>0</v>
          </cell>
          <cell r="AM653">
            <v>0</v>
          </cell>
          <cell r="AP653">
            <v>0</v>
          </cell>
          <cell r="AQ653">
            <v>0</v>
          </cell>
        </row>
        <row r="654">
          <cell r="V654">
            <v>0</v>
          </cell>
          <cell r="W654">
            <v>0</v>
          </cell>
          <cell r="Z654">
            <v>0</v>
          </cell>
          <cell r="AA654">
            <v>0</v>
          </cell>
          <cell r="AD654">
            <v>2.7468154734749544E-2</v>
          </cell>
          <cell r="AE654">
            <v>4.450536463351825E-2</v>
          </cell>
          <cell r="AH654">
            <v>6.8350250276972252E-2</v>
          </cell>
          <cell r="AI654">
            <v>0.11074470930952467</v>
          </cell>
          <cell r="AL654">
            <v>0.32948323257624684</v>
          </cell>
          <cell r="AM654">
            <v>0.53384625025012145</v>
          </cell>
          <cell r="AP654">
            <v>0.62588328201908172</v>
          </cell>
          <cell r="AQ654">
            <v>1.0140893683347147</v>
          </cell>
        </row>
        <row r="655">
          <cell r="V655">
            <v>0</v>
          </cell>
          <cell r="W655">
            <v>0</v>
          </cell>
          <cell r="Z655">
            <v>0</v>
          </cell>
          <cell r="AA655">
            <v>0</v>
          </cell>
          <cell r="AD655">
            <v>0</v>
          </cell>
          <cell r="AE655">
            <v>0</v>
          </cell>
          <cell r="AH655">
            <v>0</v>
          </cell>
          <cell r="AI655">
            <v>0</v>
          </cell>
          <cell r="AL655">
            <v>0</v>
          </cell>
          <cell r="AM655">
            <v>0</v>
          </cell>
          <cell r="AP655">
            <v>0</v>
          </cell>
          <cell r="AQ655">
            <v>0</v>
          </cell>
        </row>
        <row r="656">
          <cell r="V656">
            <v>3.1455210886892258</v>
          </cell>
          <cell r="W656">
            <v>10.398323311170499</v>
          </cell>
          <cell r="Z656">
            <v>3.8000615501696235</v>
          </cell>
          <cell r="AA656">
            <v>12.562073973402461</v>
          </cell>
          <cell r="AD656">
            <v>4.556270569706113</v>
          </cell>
          <cell r="AE656">
            <v>15.061916019999703</v>
          </cell>
          <cell r="AH656">
            <v>5.3602144650373127</v>
          </cell>
          <cell r="AI656">
            <v>17.719557889817594</v>
          </cell>
          <cell r="AL656">
            <v>6.4098090232441409</v>
          </cell>
          <cell r="AM656">
            <v>21.189260763889802</v>
          </cell>
          <cell r="AP656">
            <v>7.8049917162745199</v>
          </cell>
          <cell r="AQ656">
            <v>25.801393479339151</v>
          </cell>
        </row>
        <row r="657">
          <cell r="V657">
            <v>0</v>
          </cell>
          <cell r="W657">
            <v>0</v>
          </cell>
          <cell r="Z657">
            <v>0</v>
          </cell>
          <cell r="AA657">
            <v>0</v>
          </cell>
          <cell r="AD657">
            <v>0</v>
          </cell>
          <cell r="AE657">
            <v>0</v>
          </cell>
          <cell r="AH657">
            <v>0</v>
          </cell>
          <cell r="AI657">
            <v>0</v>
          </cell>
          <cell r="AL657">
            <v>0</v>
          </cell>
          <cell r="AM657">
            <v>0</v>
          </cell>
          <cell r="AP657">
            <v>0</v>
          </cell>
          <cell r="AQ657">
            <v>0</v>
          </cell>
        </row>
        <row r="658">
          <cell r="V658">
            <v>0</v>
          </cell>
          <cell r="W658">
            <v>0</v>
          </cell>
          <cell r="Z658">
            <v>0</v>
          </cell>
          <cell r="AA658">
            <v>0</v>
          </cell>
          <cell r="AD658">
            <v>0</v>
          </cell>
          <cell r="AE658">
            <v>0</v>
          </cell>
          <cell r="AH658">
            <v>0</v>
          </cell>
          <cell r="AI658">
            <v>0</v>
          </cell>
          <cell r="AL658">
            <v>0</v>
          </cell>
          <cell r="AM658">
            <v>0</v>
          </cell>
          <cell r="AP658">
            <v>0</v>
          </cell>
          <cell r="AQ658">
            <v>0</v>
          </cell>
        </row>
        <row r="659">
          <cell r="V659">
            <v>0</v>
          </cell>
          <cell r="W659">
            <v>0</v>
          </cell>
          <cell r="Z659">
            <v>0</v>
          </cell>
          <cell r="AA659">
            <v>0</v>
          </cell>
          <cell r="AD659">
            <v>0</v>
          </cell>
          <cell r="AE659">
            <v>0</v>
          </cell>
          <cell r="AH659">
            <v>0</v>
          </cell>
          <cell r="AI659">
            <v>0</v>
          </cell>
          <cell r="AL659">
            <v>0</v>
          </cell>
          <cell r="AM659">
            <v>0</v>
          </cell>
          <cell r="AP659">
            <v>0</v>
          </cell>
          <cell r="AQ659">
            <v>0</v>
          </cell>
        </row>
        <row r="660">
          <cell r="V660">
            <v>0</v>
          </cell>
          <cell r="W660">
            <v>0</v>
          </cell>
          <cell r="Z660">
            <v>0</v>
          </cell>
          <cell r="AA660">
            <v>0</v>
          </cell>
          <cell r="AD660">
            <v>0</v>
          </cell>
          <cell r="AE660">
            <v>0</v>
          </cell>
          <cell r="AH660">
            <v>0</v>
          </cell>
          <cell r="AI660">
            <v>0</v>
          </cell>
          <cell r="AL660">
            <v>0</v>
          </cell>
          <cell r="AM660">
            <v>0</v>
          </cell>
          <cell r="AP660">
            <v>0</v>
          </cell>
          <cell r="AQ660">
            <v>0</v>
          </cell>
        </row>
        <row r="662">
          <cell r="V662">
            <v>0</v>
          </cell>
          <cell r="W662">
            <v>0</v>
          </cell>
          <cell r="Z662">
            <v>0</v>
          </cell>
          <cell r="AA662">
            <v>0</v>
          </cell>
          <cell r="AD662">
            <v>0</v>
          </cell>
          <cell r="AE662">
            <v>0</v>
          </cell>
          <cell r="AH662">
            <v>0</v>
          </cell>
          <cell r="AI662">
            <v>0</v>
          </cell>
          <cell r="AL662">
            <v>0</v>
          </cell>
          <cell r="AM662">
            <v>0</v>
          </cell>
          <cell r="AP662">
            <v>0</v>
          </cell>
          <cell r="AQ662">
            <v>0</v>
          </cell>
        </row>
      </sheetData>
      <sheetData sheetId="5" refreshError="1"/>
      <sheetData sheetId="6" refreshError="1"/>
      <sheetData sheetId="7">
        <row r="3">
          <cell r="G3" t="str">
            <v xml:space="preserve"> </v>
          </cell>
          <cell r="K3">
            <v>1.2060567848628556</v>
          </cell>
          <cell r="L3">
            <v>4.2211987470199945</v>
          </cell>
        </row>
        <row r="300">
          <cell r="K300">
            <v>0</v>
          </cell>
          <cell r="L300">
            <v>0.20643606879122178</v>
          </cell>
        </row>
        <row r="765">
          <cell r="G765" t="str">
            <v>Hercules city</v>
          </cell>
        </row>
      </sheetData>
      <sheetData sheetId="8" refreshError="1"/>
      <sheetData sheetId="9" refreshError="1"/>
      <sheetData sheetId="10">
        <row r="1">
          <cell r="D1" t="str">
            <v>NAMELSAD10</v>
          </cell>
          <cell r="Q1" t="str">
            <v>housing exposed 1 ft</v>
          </cell>
          <cell r="R1" t="str">
            <v>population exposed 1 ft</v>
          </cell>
          <cell r="U1" t="str">
            <v>housing exposed 2 ft</v>
          </cell>
          <cell r="V1" t="str">
            <v>population exposed 2 ft</v>
          </cell>
          <cell r="Y1" t="str">
            <v>housing exposed 3 ft</v>
          </cell>
          <cell r="Z1" t="str">
            <v>population exposed 3 ft</v>
          </cell>
          <cell r="AC1" t="str">
            <v>housing exposed 4 ft</v>
          </cell>
          <cell r="AD1" t="str">
            <v>population exposed 4 ft</v>
          </cell>
          <cell r="AG1" t="str">
            <v>housing exposed 5 ft</v>
          </cell>
          <cell r="AH1" t="str">
            <v>population exposed 5 ft</v>
          </cell>
          <cell r="AK1" t="str">
            <v>housing exposed 6 ft</v>
          </cell>
          <cell r="AL1" t="str">
            <v>population exposed 6 ft</v>
          </cell>
        </row>
        <row r="2">
          <cell r="D2" t="str">
            <v xml:space="preserve"> </v>
          </cell>
          <cell r="Q2">
            <v>0</v>
          </cell>
          <cell r="R2">
            <v>0</v>
          </cell>
          <cell r="U2">
            <v>0</v>
          </cell>
          <cell r="V2">
            <v>0</v>
          </cell>
          <cell r="Y2">
            <v>0</v>
          </cell>
          <cell r="Z2">
            <v>0</v>
          </cell>
          <cell r="AC2">
            <v>0</v>
          </cell>
          <cell r="AD2">
            <v>0</v>
          </cell>
          <cell r="AG2">
            <v>0</v>
          </cell>
          <cell r="AH2">
            <v>0</v>
          </cell>
          <cell r="AK2">
            <v>0</v>
          </cell>
          <cell r="AL2">
            <v>0</v>
          </cell>
        </row>
        <row r="3">
          <cell r="D3" t="str">
            <v xml:space="preserve"> </v>
          </cell>
          <cell r="Q3">
            <v>0</v>
          </cell>
          <cell r="R3">
            <v>0</v>
          </cell>
          <cell r="U3">
            <v>0</v>
          </cell>
          <cell r="V3">
            <v>0</v>
          </cell>
          <cell r="Y3">
            <v>0</v>
          </cell>
          <cell r="Z3">
            <v>0</v>
          </cell>
          <cell r="AC3">
            <v>0</v>
          </cell>
          <cell r="AD3">
            <v>0</v>
          </cell>
          <cell r="AG3">
            <v>0</v>
          </cell>
          <cell r="AH3">
            <v>0</v>
          </cell>
          <cell r="AK3">
            <v>0</v>
          </cell>
          <cell r="AL3">
            <v>0</v>
          </cell>
        </row>
        <row r="4">
          <cell r="D4" t="str">
            <v xml:space="preserve"> </v>
          </cell>
          <cell r="Q4">
            <v>0</v>
          </cell>
          <cell r="R4">
            <v>0</v>
          </cell>
          <cell r="U4">
            <v>0</v>
          </cell>
          <cell r="V4">
            <v>0</v>
          </cell>
          <cell r="Y4">
            <v>0</v>
          </cell>
          <cell r="Z4">
            <v>0</v>
          </cell>
          <cell r="AC4">
            <v>0</v>
          </cell>
          <cell r="AD4">
            <v>0</v>
          </cell>
          <cell r="AG4">
            <v>0</v>
          </cell>
          <cell r="AH4">
            <v>0</v>
          </cell>
          <cell r="AK4">
            <v>0</v>
          </cell>
          <cell r="AL4">
            <v>0</v>
          </cell>
        </row>
        <row r="5">
          <cell r="D5" t="str">
            <v xml:space="preserve"> </v>
          </cell>
          <cell r="Q5">
            <v>0</v>
          </cell>
          <cell r="R5">
            <v>0</v>
          </cell>
          <cell r="U5">
            <v>0</v>
          </cell>
          <cell r="V5">
            <v>0</v>
          </cell>
          <cell r="Y5">
            <v>0</v>
          </cell>
          <cell r="Z5">
            <v>0</v>
          </cell>
          <cell r="AC5">
            <v>0</v>
          </cell>
          <cell r="AD5">
            <v>0</v>
          </cell>
          <cell r="AG5">
            <v>0</v>
          </cell>
          <cell r="AH5">
            <v>0</v>
          </cell>
          <cell r="AK5">
            <v>0</v>
          </cell>
          <cell r="AL5">
            <v>0</v>
          </cell>
        </row>
        <row r="6">
          <cell r="D6" t="str">
            <v xml:space="preserve"> 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  <cell r="Y6">
            <v>0</v>
          </cell>
          <cell r="Z6">
            <v>0</v>
          </cell>
          <cell r="AC6">
            <v>0</v>
          </cell>
          <cell r="AD6">
            <v>0</v>
          </cell>
          <cell r="AG6">
            <v>0</v>
          </cell>
          <cell r="AH6">
            <v>0</v>
          </cell>
          <cell r="AK6">
            <v>0</v>
          </cell>
          <cell r="AL6">
            <v>0</v>
          </cell>
        </row>
        <row r="7">
          <cell r="D7" t="str">
            <v xml:space="preserve"> </v>
          </cell>
          <cell r="Q7">
            <v>0</v>
          </cell>
          <cell r="R7">
            <v>0</v>
          </cell>
          <cell r="U7">
            <v>0</v>
          </cell>
          <cell r="V7">
            <v>0</v>
          </cell>
          <cell r="Y7">
            <v>0</v>
          </cell>
          <cell r="Z7">
            <v>0</v>
          </cell>
          <cell r="AC7">
            <v>0</v>
          </cell>
          <cell r="AD7">
            <v>0</v>
          </cell>
          <cell r="AG7">
            <v>0</v>
          </cell>
          <cell r="AH7">
            <v>0</v>
          </cell>
          <cell r="AK7">
            <v>0</v>
          </cell>
          <cell r="AL7">
            <v>0</v>
          </cell>
        </row>
        <row r="8">
          <cell r="D8" t="str">
            <v xml:space="preserve"> 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Y8">
            <v>0</v>
          </cell>
          <cell r="Z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K8">
            <v>0</v>
          </cell>
          <cell r="AL8">
            <v>0</v>
          </cell>
        </row>
        <row r="9">
          <cell r="D9" t="str">
            <v xml:space="preserve"> 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Y9">
            <v>0</v>
          </cell>
          <cell r="Z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K9">
            <v>0</v>
          </cell>
          <cell r="AL9">
            <v>0</v>
          </cell>
        </row>
        <row r="10">
          <cell r="D10" t="str">
            <v xml:space="preserve"> 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Y10">
            <v>0</v>
          </cell>
          <cell r="Z10">
            <v>0</v>
          </cell>
          <cell r="AC10">
            <v>0</v>
          </cell>
          <cell r="AD10">
            <v>0</v>
          </cell>
          <cell r="AG10">
            <v>0</v>
          </cell>
          <cell r="AH10">
            <v>0</v>
          </cell>
          <cell r="AK10">
            <v>0</v>
          </cell>
          <cell r="AL10">
            <v>0</v>
          </cell>
        </row>
        <row r="11">
          <cell r="D11" t="str">
            <v xml:space="preserve"> 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Y11">
            <v>0</v>
          </cell>
          <cell r="Z11">
            <v>0</v>
          </cell>
          <cell r="AC11">
            <v>0</v>
          </cell>
          <cell r="AD11">
            <v>0</v>
          </cell>
          <cell r="AG11">
            <v>0</v>
          </cell>
          <cell r="AH11">
            <v>0</v>
          </cell>
          <cell r="AK11">
            <v>0</v>
          </cell>
          <cell r="AL11">
            <v>0</v>
          </cell>
        </row>
        <row r="12">
          <cell r="D12" t="str">
            <v xml:space="preserve"> 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Y12">
            <v>0</v>
          </cell>
          <cell r="Z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K12">
            <v>0</v>
          </cell>
          <cell r="AL12">
            <v>0</v>
          </cell>
        </row>
        <row r="13">
          <cell r="D13" t="str">
            <v xml:space="preserve"> 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Y13">
            <v>0</v>
          </cell>
          <cell r="Z13">
            <v>0</v>
          </cell>
          <cell r="AC13">
            <v>0</v>
          </cell>
          <cell r="AD13">
            <v>0</v>
          </cell>
          <cell r="AG13">
            <v>0</v>
          </cell>
          <cell r="AH13">
            <v>0</v>
          </cell>
          <cell r="AK13">
            <v>0</v>
          </cell>
          <cell r="AL13">
            <v>0</v>
          </cell>
        </row>
        <row r="14">
          <cell r="D14" t="str">
            <v xml:space="preserve"> 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Y14">
            <v>0</v>
          </cell>
          <cell r="Z14">
            <v>0</v>
          </cell>
          <cell r="AC14">
            <v>0</v>
          </cell>
          <cell r="AD14">
            <v>0</v>
          </cell>
          <cell r="AG14">
            <v>0</v>
          </cell>
          <cell r="AH14">
            <v>0</v>
          </cell>
          <cell r="AK14">
            <v>0</v>
          </cell>
          <cell r="AL14">
            <v>0</v>
          </cell>
        </row>
        <row r="15">
          <cell r="D15" t="str">
            <v xml:space="preserve"> 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C15">
            <v>0</v>
          </cell>
          <cell r="AD15">
            <v>0</v>
          </cell>
          <cell r="AG15">
            <v>0</v>
          </cell>
          <cell r="AH15">
            <v>0</v>
          </cell>
          <cell r="AK15">
            <v>0</v>
          </cell>
          <cell r="AL15">
            <v>0</v>
          </cell>
        </row>
        <row r="16">
          <cell r="D16" t="str">
            <v xml:space="preserve"> </v>
          </cell>
          <cell r="Q16">
            <v>0</v>
          </cell>
          <cell r="R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K16">
            <v>0</v>
          </cell>
          <cell r="AL16">
            <v>0</v>
          </cell>
        </row>
        <row r="17">
          <cell r="D17" t="str">
            <v xml:space="preserve"> 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  <cell r="AG17">
            <v>0</v>
          </cell>
          <cell r="AH17">
            <v>0</v>
          </cell>
          <cell r="AK17">
            <v>0</v>
          </cell>
          <cell r="AL17">
            <v>0</v>
          </cell>
        </row>
        <row r="18">
          <cell r="D18" t="str">
            <v xml:space="preserve"> 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  <cell r="AG18">
            <v>0</v>
          </cell>
          <cell r="AH18">
            <v>0</v>
          </cell>
          <cell r="AK18">
            <v>0</v>
          </cell>
          <cell r="AL18">
            <v>0</v>
          </cell>
        </row>
        <row r="19">
          <cell r="D19" t="str">
            <v xml:space="preserve"> 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  <cell r="AG19">
            <v>0</v>
          </cell>
          <cell r="AH19">
            <v>0</v>
          </cell>
          <cell r="AK19">
            <v>0</v>
          </cell>
          <cell r="AL19">
            <v>0</v>
          </cell>
        </row>
        <row r="20">
          <cell r="D20" t="str">
            <v xml:space="preserve"> 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  <cell r="AG20">
            <v>0</v>
          </cell>
          <cell r="AH20">
            <v>0</v>
          </cell>
          <cell r="AK20">
            <v>0</v>
          </cell>
          <cell r="AL20">
            <v>0</v>
          </cell>
        </row>
        <row r="21">
          <cell r="D21" t="str">
            <v xml:space="preserve"> 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  <cell r="AG21">
            <v>0</v>
          </cell>
          <cell r="AH21">
            <v>0</v>
          </cell>
          <cell r="AK21">
            <v>0</v>
          </cell>
          <cell r="AL21">
            <v>0</v>
          </cell>
        </row>
        <row r="22">
          <cell r="D22" t="str">
            <v xml:space="preserve"> 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  <cell r="AG22">
            <v>0</v>
          </cell>
          <cell r="AH22">
            <v>0</v>
          </cell>
          <cell r="AK22">
            <v>0</v>
          </cell>
          <cell r="AL22">
            <v>0</v>
          </cell>
        </row>
        <row r="23">
          <cell r="D23" t="str">
            <v xml:space="preserve"> 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  <cell r="AG23">
            <v>0</v>
          </cell>
          <cell r="AH23">
            <v>0</v>
          </cell>
          <cell r="AK23">
            <v>0</v>
          </cell>
          <cell r="AL23">
            <v>0</v>
          </cell>
        </row>
        <row r="24">
          <cell r="D24" t="str">
            <v xml:space="preserve"> 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  <cell r="AG24">
            <v>0</v>
          </cell>
          <cell r="AH24">
            <v>0</v>
          </cell>
          <cell r="AK24">
            <v>0</v>
          </cell>
          <cell r="AL24">
            <v>0</v>
          </cell>
        </row>
        <row r="25">
          <cell r="D25" t="str">
            <v xml:space="preserve"> 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  <cell r="AG25">
            <v>0</v>
          </cell>
          <cell r="AH25">
            <v>0</v>
          </cell>
          <cell r="AK25">
            <v>0</v>
          </cell>
          <cell r="AL25">
            <v>0</v>
          </cell>
        </row>
        <row r="26">
          <cell r="D26" t="str">
            <v xml:space="preserve"> 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  <cell r="AG26">
            <v>0</v>
          </cell>
          <cell r="AH26">
            <v>0</v>
          </cell>
          <cell r="AK26">
            <v>0</v>
          </cell>
          <cell r="AL26">
            <v>0</v>
          </cell>
        </row>
        <row r="27">
          <cell r="D27" t="str">
            <v xml:space="preserve"> 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  <cell r="AG27">
            <v>0</v>
          </cell>
          <cell r="AH27">
            <v>0</v>
          </cell>
          <cell r="AK27">
            <v>0</v>
          </cell>
          <cell r="AL27">
            <v>0</v>
          </cell>
        </row>
        <row r="28">
          <cell r="D28" t="str">
            <v xml:space="preserve"> 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  <cell r="AG28">
            <v>0</v>
          </cell>
          <cell r="AH28">
            <v>0</v>
          </cell>
          <cell r="AK28">
            <v>0</v>
          </cell>
          <cell r="AL28">
            <v>0</v>
          </cell>
        </row>
        <row r="29">
          <cell r="D29" t="str">
            <v xml:space="preserve"> 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  <cell r="AG29">
            <v>0</v>
          </cell>
          <cell r="AH29">
            <v>0</v>
          </cell>
          <cell r="AK29">
            <v>0</v>
          </cell>
          <cell r="AL29">
            <v>0</v>
          </cell>
        </row>
        <row r="30">
          <cell r="D30" t="str">
            <v xml:space="preserve"> 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  <cell r="AG30">
            <v>0</v>
          </cell>
          <cell r="AH30">
            <v>0</v>
          </cell>
          <cell r="AK30">
            <v>0</v>
          </cell>
          <cell r="AL30">
            <v>0</v>
          </cell>
        </row>
        <row r="31">
          <cell r="D31" t="str">
            <v xml:space="preserve"> 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  <cell r="AG31">
            <v>0</v>
          </cell>
          <cell r="AH31">
            <v>0</v>
          </cell>
          <cell r="AK31">
            <v>0</v>
          </cell>
          <cell r="AL31">
            <v>0</v>
          </cell>
        </row>
        <row r="32">
          <cell r="D32" t="str">
            <v xml:space="preserve"> 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  <cell r="AG32">
            <v>0</v>
          </cell>
          <cell r="AH32">
            <v>0</v>
          </cell>
          <cell r="AK32">
            <v>0</v>
          </cell>
          <cell r="AL32">
            <v>0</v>
          </cell>
        </row>
        <row r="33">
          <cell r="D33" t="str">
            <v xml:space="preserve"> 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  <cell r="AG33">
            <v>0</v>
          </cell>
          <cell r="AH33">
            <v>0</v>
          </cell>
          <cell r="AK33">
            <v>0</v>
          </cell>
          <cell r="AL33">
            <v>0</v>
          </cell>
        </row>
        <row r="34">
          <cell r="D34" t="str">
            <v xml:space="preserve"> </v>
          </cell>
          <cell r="Q34">
            <v>0</v>
          </cell>
          <cell r="R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C34">
            <v>0</v>
          </cell>
          <cell r="AD34">
            <v>0</v>
          </cell>
          <cell r="AG34">
            <v>0</v>
          </cell>
          <cell r="AH34">
            <v>0</v>
          </cell>
          <cell r="AK34">
            <v>0</v>
          </cell>
          <cell r="AL34">
            <v>0</v>
          </cell>
        </row>
        <row r="35">
          <cell r="D35" t="str">
            <v xml:space="preserve"> 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  <cell r="AG35">
            <v>0</v>
          </cell>
          <cell r="AH35">
            <v>0</v>
          </cell>
          <cell r="AK35">
            <v>0</v>
          </cell>
          <cell r="AL35">
            <v>0</v>
          </cell>
        </row>
        <row r="36">
          <cell r="D36" t="str">
            <v xml:space="preserve"> 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K36">
            <v>0</v>
          </cell>
          <cell r="AL36">
            <v>0</v>
          </cell>
        </row>
        <row r="37">
          <cell r="D37" t="str">
            <v xml:space="preserve"> 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K37">
            <v>0</v>
          </cell>
          <cell r="AL37">
            <v>0</v>
          </cell>
        </row>
        <row r="38">
          <cell r="D38" t="str">
            <v xml:space="preserve"> 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  <cell r="AG38">
            <v>0</v>
          </cell>
          <cell r="AH38">
            <v>0</v>
          </cell>
          <cell r="AK38">
            <v>0</v>
          </cell>
          <cell r="AL38">
            <v>0</v>
          </cell>
        </row>
        <row r="39">
          <cell r="D39" t="str">
            <v xml:space="preserve"> 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K39">
            <v>0</v>
          </cell>
          <cell r="AL39">
            <v>0</v>
          </cell>
        </row>
        <row r="40">
          <cell r="D40" t="str">
            <v xml:space="preserve"> 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  <cell r="AG40">
            <v>0</v>
          </cell>
          <cell r="AH40">
            <v>0</v>
          </cell>
          <cell r="AK40">
            <v>0</v>
          </cell>
          <cell r="AL40">
            <v>0</v>
          </cell>
        </row>
        <row r="41">
          <cell r="D41" t="str">
            <v xml:space="preserve"> 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K41">
            <v>0</v>
          </cell>
          <cell r="AL41">
            <v>0</v>
          </cell>
        </row>
        <row r="42">
          <cell r="D42" t="str">
            <v xml:space="preserve"> 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  <cell r="AG42">
            <v>0</v>
          </cell>
          <cell r="AH42">
            <v>0</v>
          </cell>
          <cell r="AK42">
            <v>0</v>
          </cell>
          <cell r="AL42">
            <v>0</v>
          </cell>
        </row>
        <row r="43">
          <cell r="D43" t="str">
            <v xml:space="preserve"> 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K43">
            <v>0</v>
          </cell>
          <cell r="AL43">
            <v>0</v>
          </cell>
        </row>
        <row r="44">
          <cell r="D44" t="str">
            <v xml:space="preserve"> 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  <cell r="AG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 t="str">
            <v xml:space="preserve"> 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</row>
        <row r="46">
          <cell r="D46" t="str">
            <v xml:space="preserve"> 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</row>
        <row r="47">
          <cell r="D47" t="str">
            <v xml:space="preserve"> 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Y47">
            <v>0</v>
          </cell>
          <cell r="Z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K47">
            <v>0</v>
          </cell>
          <cell r="AL47">
            <v>0</v>
          </cell>
        </row>
        <row r="48">
          <cell r="D48" t="str">
            <v xml:space="preserve"> 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Y48">
            <v>0</v>
          </cell>
          <cell r="Z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K48">
            <v>0</v>
          </cell>
          <cell r="AL48">
            <v>0</v>
          </cell>
        </row>
        <row r="49">
          <cell r="D49" t="str">
            <v xml:space="preserve"> 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  <cell r="AG49">
            <v>0</v>
          </cell>
          <cell r="AH49">
            <v>0</v>
          </cell>
          <cell r="AK49">
            <v>0</v>
          </cell>
          <cell r="AL49">
            <v>0</v>
          </cell>
        </row>
        <row r="50">
          <cell r="D50" t="str">
            <v xml:space="preserve"> 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Y50">
            <v>0</v>
          </cell>
          <cell r="Z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K50">
            <v>0</v>
          </cell>
          <cell r="AL50">
            <v>0</v>
          </cell>
        </row>
        <row r="51">
          <cell r="D51" t="str">
            <v xml:space="preserve"> 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G51">
            <v>0</v>
          </cell>
          <cell r="AH51">
            <v>0</v>
          </cell>
          <cell r="AK51">
            <v>0</v>
          </cell>
          <cell r="AL51">
            <v>0</v>
          </cell>
        </row>
        <row r="52">
          <cell r="D52" t="str">
            <v xml:space="preserve"> 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Y52">
            <v>0</v>
          </cell>
          <cell r="Z52">
            <v>0</v>
          </cell>
          <cell r="AC52">
            <v>0</v>
          </cell>
          <cell r="AD52">
            <v>0</v>
          </cell>
          <cell r="AG52">
            <v>0</v>
          </cell>
          <cell r="AH52">
            <v>0</v>
          </cell>
          <cell r="AK52">
            <v>0</v>
          </cell>
          <cell r="AL52">
            <v>0</v>
          </cell>
        </row>
        <row r="53">
          <cell r="D53" t="str">
            <v xml:space="preserve"> 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Y53">
            <v>0</v>
          </cell>
          <cell r="Z53">
            <v>0</v>
          </cell>
          <cell r="AC53">
            <v>0</v>
          </cell>
          <cell r="AD53">
            <v>0</v>
          </cell>
          <cell r="AG53">
            <v>0</v>
          </cell>
          <cell r="AH53">
            <v>0</v>
          </cell>
          <cell r="AK53">
            <v>0</v>
          </cell>
          <cell r="AL53">
            <v>0</v>
          </cell>
        </row>
        <row r="54">
          <cell r="D54" t="str">
            <v xml:space="preserve"> 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G54">
            <v>0</v>
          </cell>
          <cell r="AH54">
            <v>0</v>
          </cell>
          <cell r="AK54">
            <v>0</v>
          </cell>
          <cell r="AL54">
            <v>0</v>
          </cell>
        </row>
        <row r="55">
          <cell r="D55" t="str">
            <v xml:space="preserve"> 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Y55">
            <v>0</v>
          </cell>
          <cell r="Z55">
            <v>0</v>
          </cell>
          <cell r="AC55">
            <v>0</v>
          </cell>
          <cell r="AD55">
            <v>0</v>
          </cell>
          <cell r="AG55">
            <v>0</v>
          </cell>
          <cell r="AH55">
            <v>0</v>
          </cell>
          <cell r="AK55">
            <v>0</v>
          </cell>
          <cell r="AL55">
            <v>0</v>
          </cell>
        </row>
        <row r="56">
          <cell r="D56" t="str">
            <v xml:space="preserve"> 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K56">
            <v>0</v>
          </cell>
          <cell r="AL56">
            <v>0</v>
          </cell>
        </row>
        <row r="57">
          <cell r="D57" t="str">
            <v xml:space="preserve"> </v>
          </cell>
          <cell r="Q57">
            <v>0</v>
          </cell>
          <cell r="R57">
            <v>0</v>
          </cell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  <cell r="AG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D58" t="str">
            <v xml:space="preserve"> 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G58">
            <v>0</v>
          </cell>
          <cell r="AH58">
            <v>0</v>
          </cell>
          <cell r="AK58">
            <v>0</v>
          </cell>
          <cell r="AL58">
            <v>0</v>
          </cell>
        </row>
        <row r="59">
          <cell r="D59" t="str">
            <v xml:space="preserve"> 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G59">
            <v>0</v>
          </cell>
          <cell r="AH59">
            <v>0</v>
          </cell>
          <cell r="AK59">
            <v>0</v>
          </cell>
          <cell r="AL59">
            <v>0</v>
          </cell>
        </row>
        <row r="60">
          <cell r="D60" t="str">
            <v xml:space="preserve"> 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Y60">
            <v>0</v>
          </cell>
          <cell r="Z60">
            <v>0</v>
          </cell>
          <cell r="AC60">
            <v>0</v>
          </cell>
          <cell r="AD60">
            <v>0</v>
          </cell>
          <cell r="AG60">
            <v>0</v>
          </cell>
          <cell r="AH60">
            <v>0</v>
          </cell>
          <cell r="AK60">
            <v>0</v>
          </cell>
          <cell r="AL60">
            <v>0</v>
          </cell>
        </row>
        <row r="61">
          <cell r="D61" t="str">
            <v xml:space="preserve"> 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K61">
            <v>0</v>
          </cell>
          <cell r="AL61">
            <v>0</v>
          </cell>
        </row>
        <row r="62">
          <cell r="D62" t="str">
            <v xml:space="preserve"> 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Y62">
            <v>0</v>
          </cell>
          <cell r="Z62">
            <v>0</v>
          </cell>
          <cell r="AC62">
            <v>0</v>
          </cell>
          <cell r="AD62">
            <v>0</v>
          </cell>
          <cell r="AG62">
            <v>0</v>
          </cell>
          <cell r="AH62">
            <v>0</v>
          </cell>
          <cell r="AK62">
            <v>0</v>
          </cell>
          <cell r="AL62">
            <v>0</v>
          </cell>
        </row>
        <row r="63">
          <cell r="D63" t="str">
            <v xml:space="preserve"> 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K63">
            <v>0</v>
          </cell>
          <cell r="AL63">
            <v>0</v>
          </cell>
        </row>
        <row r="64">
          <cell r="D64" t="str">
            <v xml:space="preserve"> 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Y64">
            <v>0</v>
          </cell>
          <cell r="Z64">
            <v>0</v>
          </cell>
          <cell r="AC64">
            <v>0</v>
          </cell>
          <cell r="AD64">
            <v>0</v>
          </cell>
          <cell r="AG64">
            <v>0</v>
          </cell>
          <cell r="AH64">
            <v>0</v>
          </cell>
          <cell r="AK64">
            <v>0</v>
          </cell>
          <cell r="AL64">
            <v>0</v>
          </cell>
        </row>
        <row r="65">
          <cell r="D65" t="str">
            <v xml:space="preserve"> 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G65">
            <v>0</v>
          </cell>
          <cell r="AH65">
            <v>0</v>
          </cell>
          <cell r="AK65">
            <v>0</v>
          </cell>
          <cell r="AL65">
            <v>0</v>
          </cell>
        </row>
        <row r="66">
          <cell r="D66" t="str">
            <v xml:space="preserve"> 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D67" t="str">
            <v xml:space="preserve"> 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Y67">
            <v>0</v>
          </cell>
          <cell r="Z67">
            <v>0</v>
          </cell>
          <cell r="AC67">
            <v>0</v>
          </cell>
          <cell r="AD67">
            <v>0</v>
          </cell>
          <cell r="AG67">
            <v>0</v>
          </cell>
          <cell r="AH67">
            <v>0</v>
          </cell>
          <cell r="AK67">
            <v>0</v>
          </cell>
          <cell r="AL67">
            <v>0</v>
          </cell>
        </row>
        <row r="68">
          <cell r="D68" t="str">
            <v xml:space="preserve"> 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Y68">
            <v>0</v>
          </cell>
          <cell r="Z68">
            <v>0</v>
          </cell>
          <cell r="AC68">
            <v>0</v>
          </cell>
          <cell r="AD68">
            <v>0</v>
          </cell>
          <cell r="AG68">
            <v>0</v>
          </cell>
          <cell r="AH68">
            <v>0</v>
          </cell>
          <cell r="AK68">
            <v>0</v>
          </cell>
          <cell r="AL68">
            <v>0</v>
          </cell>
        </row>
        <row r="69">
          <cell r="D69" t="str">
            <v xml:space="preserve"> 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G69">
            <v>0</v>
          </cell>
          <cell r="AH69">
            <v>0</v>
          </cell>
          <cell r="AK69">
            <v>0</v>
          </cell>
          <cell r="AL69">
            <v>0</v>
          </cell>
        </row>
        <row r="70">
          <cell r="D70" t="str">
            <v xml:space="preserve"> </v>
          </cell>
          <cell r="Q70">
            <v>0</v>
          </cell>
          <cell r="R70">
            <v>0</v>
          </cell>
          <cell r="U70">
            <v>0</v>
          </cell>
          <cell r="V70">
            <v>0</v>
          </cell>
          <cell r="Y70">
            <v>0</v>
          </cell>
          <cell r="Z70">
            <v>0</v>
          </cell>
          <cell r="AC70">
            <v>0</v>
          </cell>
          <cell r="AD70">
            <v>0</v>
          </cell>
          <cell r="AG70">
            <v>0</v>
          </cell>
          <cell r="AH70">
            <v>0</v>
          </cell>
          <cell r="AK70">
            <v>0</v>
          </cell>
          <cell r="AL70">
            <v>0</v>
          </cell>
        </row>
        <row r="71">
          <cell r="D71" t="str">
            <v xml:space="preserve"> </v>
          </cell>
          <cell r="Q71">
            <v>0</v>
          </cell>
          <cell r="R71">
            <v>0</v>
          </cell>
          <cell r="U71">
            <v>0</v>
          </cell>
          <cell r="V71">
            <v>0</v>
          </cell>
          <cell r="Y71">
            <v>0</v>
          </cell>
          <cell r="Z71">
            <v>0</v>
          </cell>
          <cell r="AC71">
            <v>0</v>
          </cell>
          <cell r="AD71">
            <v>0</v>
          </cell>
          <cell r="AG71">
            <v>0</v>
          </cell>
          <cell r="AH71">
            <v>0</v>
          </cell>
          <cell r="AK71">
            <v>0</v>
          </cell>
          <cell r="AL71">
            <v>0</v>
          </cell>
        </row>
        <row r="72">
          <cell r="D72" t="str">
            <v xml:space="preserve"> 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Y72">
            <v>0</v>
          </cell>
          <cell r="Z72">
            <v>0</v>
          </cell>
          <cell r="AC72">
            <v>0</v>
          </cell>
          <cell r="AD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</row>
        <row r="73">
          <cell r="D73" t="str">
            <v xml:space="preserve"> 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K73">
            <v>0</v>
          </cell>
          <cell r="AL73">
            <v>0</v>
          </cell>
        </row>
        <row r="74">
          <cell r="D74" t="str">
            <v xml:space="preserve"> 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D75" t="str">
            <v xml:space="preserve"> </v>
          </cell>
          <cell r="Q75">
            <v>0</v>
          </cell>
          <cell r="R75">
            <v>0</v>
          </cell>
          <cell r="U75">
            <v>0</v>
          </cell>
          <cell r="V75">
            <v>0</v>
          </cell>
          <cell r="Y75">
            <v>0</v>
          </cell>
          <cell r="Z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K75">
            <v>0</v>
          </cell>
          <cell r="AL75">
            <v>0</v>
          </cell>
        </row>
        <row r="76">
          <cell r="D76" t="str">
            <v xml:space="preserve"> </v>
          </cell>
          <cell r="Q76">
            <v>0</v>
          </cell>
          <cell r="R76">
            <v>0</v>
          </cell>
          <cell r="U76">
            <v>0</v>
          </cell>
          <cell r="V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G76">
            <v>0</v>
          </cell>
          <cell r="AH76">
            <v>0</v>
          </cell>
          <cell r="AK76">
            <v>0</v>
          </cell>
          <cell r="AL76">
            <v>0</v>
          </cell>
        </row>
        <row r="77">
          <cell r="D77" t="str">
            <v xml:space="preserve"> </v>
          </cell>
          <cell r="Q77">
            <v>0</v>
          </cell>
          <cell r="R77">
            <v>0</v>
          </cell>
          <cell r="U77">
            <v>0</v>
          </cell>
          <cell r="V77">
            <v>0</v>
          </cell>
          <cell r="Y77">
            <v>0</v>
          </cell>
          <cell r="Z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K77">
            <v>0</v>
          </cell>
          <cell r="AL77">
            <v>0</v>
          </cell>
        </row>
        <row r="78">
          <cell r="D78" t="str">
            <v xml:space="preserve"> </v>
          </cell>
          <cell r="Q78">
            <v>0</v>
          </cell>
          <cell r="R78">
            <v>0</v>
          </cell>
          <cell r="U78">
            <v>0</v>
          </cell>
          <cell r="V78">
            <v>0</v>
          </cell>
          <cell r="Y78">
            <v>0</v>
          </cell>
          <cell r="Z78">
            <v>0</v>
          </cell>
          <cell r="AC78">
            <v>0</v>
          </cell>
          <cell r="AD78">
            <v>0</v>
          </cell>
          <cell r="AG78">
            <v>0</v>
          </cell>
          <cell r="AH78">
            <v>0</v>
          </cell>
          <cell r="AK78">
            <v>0</v>
          </cell>
          <cell r="AL78">
            <v>0</v>
          </cell>
        </row>
        <row r="79">
          <cell r="D79" t="str">
            <v xml:space="preserve"> 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Y79">
            <v>0</v>
          </cell>
          <cell r="Z79">
            <v>0</v>
          </cell>
          <cell r="AC79">
            <v>0</v>
          </cell>
          <cell r="AD79">
            <v>0</v>
          </cell>
          <cell r="AG79">
            <v>0</v>
          </cell>
          <cell r="AH79">
            <v>0</v>
          </cell>
          <cell r="AK79">
            <v>0</v>
          </cell>
          <cell r="AL79">
            <v>0</v>
          </cell>
        </row>
        <row r="80">
          <cell r="D80" t="str">
            <v xml:space="preserve"> 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Y80">
            <v>0</v>
          </cell>
          <cell r="Z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K80">
            <v>0</v>
          </cell>
          <cell r="AL80">
            <v>0</v>
          </cell>
        </row>
        <row r="81">
          <cell r="D81" t="str">
            <v xml:space="preserve"> 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Y81">
            <v>0</v>
          </cell>
          <cell r="Z81">
            <v>0</v>
          </cell>
          <cell r="AC81">
            <v>0</v>
          </cell>
          <cell r="AD81">
            <v>0</v>
          </cell>
          <cell r="AG81">
            <v>0</v>
          </cell>
          <cell r="AH81">
            <v>0</v>
          </cell>
          <cell r="AK81">
            <v>0</v>
          </cell>
          <cell r="AL81">
            <v>0</v>
          </cell>
        </row>
        <row r="82">
          <cell r="D82" t="str">
            <v xml:space="preserve"> </v>
          </cell>
          <cell r="Q82">
            <v>0</v>
          </cell>
          <cell r="R82">
            <v>0</v>
          </cell>
          <cell r="U82">
            <v>0</v>
          </cell>
          <cell r="V82">
            <v>0</v>
          </cell>
          <cell r="Y82">
            <v>0</v>
          </cell>
          <cell r="Z82">
            <v>0</v>
          </cell>
          <cell r="AC82">
            <v>0</v>
          </cell>
          <cell r="AD82">
            <v>0</v>
          </cell>
          <cell r="AG82">
            <v>0</v>
          </cell>
          <cell r="AH82">
            <v>0</v>
          </cell>
          <cell r="AK82">
            <v>0</v>
          </cell>
          <cell r="AL82">
            <v>0</v>
          </cell>
        </row>
        <row r="83">
          <cell r="D83" t="str">
            <v xml:space="preserve"> </v>
          </cell>
          <cell r="Q83">
            <v>0</v>
          </cell>
          <cell r="R83">
            <v>0</v>
          </cell>
          <cell r="U83">
            <v>0</v>
          </cell>
          <cell r="V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G83">
            <v>0</v>
          </cell>
          <cell r="AH83">
            <v>0</v>
          </cell>
          <cell r="AK83">
            <v>0</v>
          </cell>
          <cell r="AL83">
            <v>0</v>
          </cell>
        </row>
        <row r="84">
          <cell r="D84" t="str">
            <v xml:space="preserve"> </v>
          </cell>
          <cell r="Q84">
            <v>0</v>
          </cell>
          <cell r="R84">
            <v>0</v>
          </cell>
          <cell r="U84">
            <v>0</v>
          </cell>
          <cell r="V84">
            <v>0</v>
          </cell>
          <cell r="Y84">
            <v>0</v>
          </cell>
          <cell r="Z84">
            <v>0</v>
          </cell>
          <cell r="AC84">
            <v>0</v>
          </cell>
          <cell r="AD84">
            <v>0</v>
          </cell>
          <cell r="AG84">
            <v>0</v>
          </cell>
          <cell r="AH84">
            <v>0</v>
          </cell>
          <cell r="AK84">
            <v>0</v>
          </cell>
          <cell r="AL84">
            <v>0</v>
          </cell>
        </row>
        <row r="85">
          <cell r="D85" t="str">
            <v xml:space="preserve"> </v>
          </cell>
          <cell r="Q85">
            <v>0</v>
          </cell>
          <cell r="R85">
            <v>0</v>
          </cell>
          <cell r="U85">
            <v>0</v>
          </cell>
          <cell r="V85">
            <v>0</v>
          </cell>
          <cell r="Y85">
            <v>0</v>
          </cell>
          <cell r="Z85">
            <v>0</v>
          </cell>
          <cell r="AC85">
            <v>0</v>
          </cell>
          <cell r="AD85">
            <v>0</v>
          </cell>
          <cell r="AG85">
            <v>0</v>
          </cell>
          <cell r="AH85">
            <v>0</v>
          </cell>
          <cell r="AK85">
            <v>0</v>
          </cell>
          <cell r="AL85">
            <v>0</v>
          </cell>
        </row>
        <row r="86">
          <cell r="D86" t="str">
            <v xml:space="preserve"> 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Y86">
            <v>0</v>
          </cell>
          <cell r="Z86">
            <v>0</v>
          </cell>
          <cell r="AC86">
            <v>0</v>
          </cell>
          <cell r="AD86">
            <v>0</v>
          </cell>
          <cell r="AG86">
            <v>0</v>
          </cell>
          <cell r="AH86">
            <v>0</v>
          </cell>
          <cell r="AK86">
            <v>0</v>
          </cell>
          <cell r="AL86">
            <v>0</v>
          </cell>
        </row>
        <row r="87">
          <cell r="D87" t="str">
            <v xml:space="preserve"> 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G87">
            <v>0</v>
          </cell>
          <cell r="AH87">
            <v>0</v>
          </cell>
          <cell r="AK87">
            <v>0</v>
          </cell>
          <cell r="AL87">
            <v>0</v>
          </cell>
        </row>
        <row r="88">
          <cell r="D88" t="str">
            <v xml:space="preserve"> 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Y88">
            <v>0</v>
          </cell>
          <cell r="Z88">
            <v>0</v>
          </cell>
          <cell r="AC88">
            <v>0</v>
          </cell>
          <cell r="AD88">
            <v>0</v>
          </cell>
          <cell r="AG88">
            <v>0</v>
          </cell>
          <cell r="AH88">
            <v>0</v>
          </cell>
          <cell r="AK88">
            <v>0</v>
          </cell>
          <cell r="AL88">
            <v>0</v>
          </cell>
        </row>
        <row r="89">
          <cell r="D89" t="str">
            <v xml:space="preserve"> </v>
          </cell>
          <cell r="Q89">
            <v>0</v>
          </cell>
          <cell r="R89">
            <v>0</v>
          </cell>
          <cell r="U89">
            <v>0</v>
          </cell>
          <cell r="V89">
            <v>0</v>
          </cell>
          <cell r="Y89">
            <v>0</v>
          </cell>
          <cell r="Z89">
            <v>0</v>
          </cell>
          <cell r="AC89">
            <v>0</v>
          </cell>
          <cell r="AD89">
            <v>0</v>
          </cell>
          <cell r="AG89">
            <v>0</v>
          </cell>
          <cell r="AH89">
            <v>0</v>
          </cell>
          <cell r="AK89">
            <v>0</v>
          </cell>
          <cell r="AL89">
            <v>0</v>
          </cell>
        </row>
        <row r="90">
          <cell r="D90" t="str">
            <v xml:space="preserve"> </v>
          </cell>
          <cell r="Q90">
            <v>0</v>
          </cell>
          <cell r="R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</row>
        <row r="91">
          <cell r="D91" t="str">
            <v xml:space="preserve"> </v>
          </cell>
          <cell r="Q91">
            <v>0</v>
          </cell>
          <cell r="R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K91">
            <v>0</v>
          </cell>
          <cell r="AL91">
            <v>0</v>
          </cell>
        </row>
        <row r="92">
          <cell r="D92" t="str">
            <v xml:space="preserve"> </v>
          </cell>
          <cell r="Q92">
            <v>0</v>
          </cell>
          <cell r="R92">
            <v>0</v>
          </cell>
          <cell r="U92">
            <v>0</v>
          </cell>
          <cell r="V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G92">
            <v>0</v>
          </cell>
          <cell r="AH92">
            <v>0</v>
          </cell>
          <cell r="AK92">
            <v>0</v>
          </cell>
          <cell r="AL92">
            <v>0</v>
          </cell>
        </row>
        <row r="93">
          <cell r="D93" t="str">
            <v xml:space="preserve"> 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Y93">
            <v>0</v>
          </cell>
          <cell r="Z93">
            <v>0</v>
          </cell>
          <cell r="AC93">
            <v>0</v>
          </cell>
          <cell r="AD93">
            <v>0</v>
          </cell>
          <cell r="AG93">
            <v>0</v>
          </cell>
          <cell r="AH93">
            <v>0</v>
          </cell>
          <cell r="AK93">
            <v>0</v>
          </cell>
          <cell r="AL93">
            <v>0</v>
          </cell>
        </row>
        <row r="94">
          <cell r="D94" t="str">
            <v xml:space="preserve"> 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K94">
            <v>0</v>
          </cell>
          <cell r="AL94">
            <v>0</v>
          </cell>
        </row>
        <row r="95">
          <cell r="D95" t="str">
            <v xml:space="preserve"> 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Y95">
            <v>0</v>
          </cell>
          <cell r="Z95">
            <v>0</v>
          </cell>
          <cell r="AC95">
            <v>0</v>
          </cell>
          <cell r="AD95">
            <v>0</v>
          </cell>
          <cell r="AG95">
            <v>0</v>
          </cell>
          <cell r="AH95">
            <v>0</v>
          </cell>
          <cell r="AK95">
            <v>0</v>
          </cell>
          <cell r="AL95">
            <v>0</v>
          </cell>
        </row>
        <row r="96">
          <cell r="D96" t="str">
            <v xml:space="preserve"> </v>
          </cell>
          <cell r="Q96">
            <v>0</v>
          </cell>
          <cell r="R96">
            <v>0</v>
          </cell>
          <cell r="U96">
            <v>0</v>
          </cell>
          <cell r="V96">
            <v>0</v>
          </cell>
          <cell r="Y96">
            <v>0</v>
          </cell>
          <cell r="Z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K96">
            <v>0</v>
          </cell>
          <cell r="AL96">
            <v>0</v>
          </cell>
        </row>
        <row r="97">
          <cell r="D97" t="str">
            <v xml:space="preserve"> </v>
          </cell>
          <cell r="Q97">
            <v>0</v>
          </cell>
          <cell r="R97">
            <v>0</v>
          </cell>
          <cell r="U97">
            <v>0</v>
          </cell>
          <cell r="V97">
            <v>0</v>
          </cell>
          <cell r="Y97">
            <v>0</v>
          </cell>
          <cell r="Z97">
            <v>0</v>
          </cell>
          <cell r="AC97">
            <v>0</v>
          </cell>
          <cell r="AD97">
            <v>0</v>
          </cell>
          <cell r="AG97">
            <v>0</v>
          </cell>
          <cell r="AH97">
            <v>0</v>
          </cell>
          <cell r="AK97">
            <v>0</v>
          </cell>
          <cell r="AL97">
            <v>0</v>
          </cell>
        </row>
        <row r="98">
          <cell r="D98" t="str">
            <v xml:space="preserve"> </v>
          </cell>
          <cell r="Q98">
            <v>0</v>
          </cell>
          <cell r="R98">
            <v>0</v>
          </cell>
          <cell r="U98">
            <v>0</v>
          </cell>
          <cell r="V98">
            <v>0</v>
          </cell>
          <cell r="Y98">
            <v>0</v>
          </cell>
          <cell r="Z98">
            <v>0</v>
          </cell>
          <cell r="AC98">
            <v>0</v>
          </cell>
          <cell r="AD98">
            <v>0</v>
          </cell>
          <cell r="AG98">
            <v>0</v>
          </cell>
          <cell r="AH98">
            <v>0</v>
          </cell>
          <cell r="AK98">
            <v>0</v>
          </cell>
          <cell r="AL98">
            <v>0</v>
          </cell>
        </row>
        <row r="99">
          <cell r="D99" t="str">
            <v xml:space="preserve"> </v>
          </cell>
          <cell r="Q99">
            <v>0</v>
          </cell>
          <cell r="R99">
            <v>0</v>
          </cell>
          <cell r="U99">
            <v>0</v>
          </cell>
          <cell r="V99">
            <v>0</v>
          </cell>
          <cell r="Y99">
            <v>0</v>
          </cell>
          <cell r="Z99">
            <v>0</v>
          </cell>
          <cell r="AC99">
            <v>0</v>
          </cell>
          <cell r="AD99">
            <v>0</v>
          </cell>
          <cell r="AG99">
            <v>0</v>
          </cell>
          <cell r="AH99">
            <v>0</v>
          </cell>
          <cell r="AK99">
            <v>0</v>
          </cell>
          <cell r="AL99">
            <v>0</v>
          </cell>
        </row>
        <row r="100">
          <cell r="D100" t="str">
            <v xml:space="preserve"> 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Y100">
            <v>0</v>
          </cell>
          <cell r="Z100">
            <v>0</v>
          </cell>
          <cell r="AC100">
            <v>0</v>
          </cell>
          <cell r="AD100">
            <v>0</v>
          </cell>
          <cell r="AG100">
            <v>0</v>
          </cell>
          <cell r="AH100">
            <v>0</v>
          </cell>
          <cell r="AK100">
            <v>0</v>
          </cell>
          <cell r="AL100">
            <v>0</v>
          </cell>
        </row>
        <row r="101">
          <cell r="D101" t="str">
            <v xml:space="preserve"> 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Y101">
            <v>0</v>
          </cell>
          <cell r="Z101">
            <v>0</v>
          </cell>
          <cell r="AC101">
            <v>0</v>
          </cell>
          <cell r="AD101">
            <v>0</v>
          </cell>
          <cell r="AG101">
            <v>0</v>
          </cell>
          <cell r="AH101">
            <v>0</v>
          </cell>
          <cell r="AK101">
            <v>0</v>
          </cell>
          <cell r="AL101">
            <v>0</v>
          </cell>
        </row>
        <row r="102">
          <cell r="D102" t="str">
            <v xml:space="preserve"> 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Y102">
            <v>0</v>
          </cell>
          <cell r="Z102">
            <v>0</v>
          </cell>
          <cell r="AC102">
            <v>0</v>
          </cell>
          <cell r="AD102">
            <v>0</v>
          </cell>
          <cell r="AG102">
            <v>0</v>
          </cell>
          <cell r="AH102">
            <v>0</v>
          </cell>
          <cell r="AK102">
            <v>0</v>
          </cell>
          <cell r="AL102">
            <v>0</v>
          </cell>
        </row>
        <row r="103">
          <cell r="D103" t="str">
            <v xml:space="preserve"> </v>
          </cell>
          <cell r="Q103">
            <v>0</v>
          </cell>
          <cell r="R103">
            <v>0</v>
          </cell>
          <cell r="U103">
            <v>0</v>
          </cell>
          <cell r="V103">
            <v>0</v>
          </cell>
          <cell r="Y103">
            <v>0</v>
          </cell>
          <cell r="Z103">
            <v>0</v>
          </cell>
          <cell r="AC103">
            <v>0</v>
          </cell>
          <cell r="AD103">
            <v>0</v>
          </cell>
          <cell r="AG103">
            <v>0</v>
          </cell>
          <cell r="AH103">
            <v>0</v>
          </cell>
          <cell r="AK103">
            <v>0</v>
          </cell>
          <cell r="AL103">
            <v>0</v>
          </cell>
        </row>
        <row r="104">
          <cell r="D104" t="str">
            <v xml:space="preserve"> </v>
          </cell>
          <cell r="Q104">
            <v>0</v>
          </cell>
          <cell r="R104">
            <v>0</v>
          </cell>
          <cell r="U104">
            <v>0</v>
          </cell>
          <cell r="V104">
            <v>0</v>
          </cell>
          <cell r="Y104">
            <v>0</v>
          </cell>
          <cell r="Z104">
            <v>0</v>
          </cell>
          <cell r="AC104">
            <v>0</v>
          </cell>
          <cell r="AD104">
            <v>0</v>
          </cell>
          <cell r="AG104">
            <v>0</v>
          </cell>
          <cell r="AH104">
            <v>0</v>
          </cell>
          <cell r="AK104">
            <v>0</v>
          </cell>
          <cell r="AL104">
            <v>0</v>
          </cell>
        </row>
        <row r="105">
          <cell r="D105" t="str">
            <v xml:space="preserve"> </v>
          </cell>
          <cell r="Q105">
            <v>0</v>
          </cell>
          <cell r="R105">
            <v>0</v>
          </cell>
          <cell r="U105">
            <v>0</v>
          </cell>
          <cell r="V105">
            <v>0</v>
          </cell>
          <cell r="Y105">
            <v>0</v>
          </cell>
          <cell r="Z105">
            <v>0</v>
          </cell>
          <cell r="AC105">
            <v>0</v>
          </cell>
          <cell r="AD105">
            <v>0</v>
          </cell>
          <cell r="AG105">
            <v>0</v>
          </cell>
          <cell r="AH105">
            <v>0</v>
          </cell>
          <cell r="AK105">
            <v>0</v>
          </cell>
          <cell r="AL105">
            <v>0</v>
          </cell>
        </row>
        <row r="106">
          <cell r="D106" t="str">
            <v xml:space="preserve"> </v>
          </cell>
          <cell r="Q106">
            <v>0</v>
          </cell>
          <cell r="R106">
            <v>0</v>
          </cell>
          <cell r="U106">
            <v>0</v>
          </cell>
          <cell r="V106">
            <v>0</v>
          </cell>
          <cell r="Y106">
            <v>0</v>
          </cell>
          <cell r="Z106">
            <v>0</v>
          </cell>
          <cell r="AC106">
            <v>0</v>
          </cell>
          <cell r="AD106">
            <v>0</v>
          </cell>
          <cell r="AG106">
            <v>0</v>
          </cell>
          <cell r="AH106">
            <v>0</v>
          </cell>
          <cell r="AK106">
            <v>0</v>
          </cell>
          <cell r="AL106">
            <v>0</v>
          </cell>
        </row>
        <row r="107">
          <cell r="D107" t="str">
            <v xml:space="preserve"> 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Y107">
            <v>0</v>
          </cell>
          <cell r="Z107">
            <v>0</v>
          </cell>
          <cell r="AC107">
            <v>0</v>
          </cell>
          <cell r="AD107">
            <v>0</v>
          </cell>
          <cell r="AG107">
            <v>0</v>
          </cell>
          <cell r="AH107">
            <v>0</v>
          </cell>
          <cell r="AK107">
            <v>0</v>
          </cell>
          <cell r="AL107">
            <v>0</v>
          </cell>
        </row>
        <row r="108">
          <cell r="D108" t="str">
            <v xml:space="preserve"> 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Y108">
            <v>0</v>
          </cell>
          <cell r="Z108">
            <v>0</v>
          </cell>
          <cell r="AC108">
            <v>0</v>
          </cell>
          <cell r="AD108">
            <v>0</v>
          </cell>
          <cell r="AG108">
            <v>0</v>
          </cell>
          <cell r="AH108">
            <v>0</v>
          </cell>
          <cell r="AK108">
            <v>0</v>
          </cell>
          <cell r="AL108">
            <v>0</v>
          </cell>
        </row>
        <row r="109">
          <cell r="D109" t="str">
            <v xml:space="preserve"> 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Y109">
            <v>0</v>
          </cell>
          <cell r="Z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K109">
            <v>0</v>
          </cell>
          <cell r="AL109">
            <v>0</v>
          </cell>
        </row>
        <row r="110">
          <cell r="D110" t="str">
            <v xml:space="preserve"> </v>
          </cell>
          <cell r="Q110">
            <v>0</v>
          </cell>
          <cell r="R110">
            <v>0</v>
          </cell>
          <cell r="U110">
            <v>0</v>
          </cell>
          <cell r="V110">
            <v>0</v>
          </cell>
          <cell r="Y110">
            <v>0</v>
          </cell>
          <cell r="Z110">
            <v>0</v>
          </cell>
          <cell r="AC110">
            <v>0</v>
          </cell>
          <cell r="AD110">
            <v>0</v>
          </cell>
          <cell r="AG110">
            <v>0</v>
          </cell>
          <cell r="AH110">
            <v>0</v>
          </cell>
          <cell r="AK110">
            <v>0</v>
          </cell>
          <cell r="AL110">
            <v>0</v>
          </cell>
        </row>
        <row r="111">
          <cell r="D111" t="str">
            <v xml:space="preserve"> </v>
          </cell>
          <cell r="Q111">
            <v>0</v>
          </cell>
          <cell r="R111">
            <v>0.18392345559851253</v>
          </cell>
          <cell r="U111">
            <v>0</v>
          </cell>
          <cell r="V111">
            <v>0.23840109270112519</v>
          </cell>
          <cell r="Y111">
            <v>0</v>
          </cell>
          <cell r="Z111">
            <v>0.29097508116877024</v>
          </cell>
          <cell r="AC111">
            <v>0</v>
          </cell>
          <cell r="AD111">
            <v>0.32832535323981177</v>
          </cell>
          <cell r="AG111">
            <v>0</v>
          </cell>
          <cell r="AH111">
            <v>0.34468276038547796</v>
          </cell>
          <cell r="AK111">
            <v>0</v>
          </cell>
          <cell r="AL111">
            <v>0.3577016607451462</v>
          </cell>
        </row>
        <row r="112">
          <cell r="D112" t="str">
            <v xml:space="preserve"> </v>
          </cell>
          <cell r="Q112">
            <v>0</v>
          </cell>
          <cell r="R112">
            <v>0.78546041656370913</v>
          </cell>
          <cell r="U112">
            <v>0</v>
          </cell>
          <cell r="V112">
            <v>1.699508758251659</v>
          </cell>
          <cell r="Y112">
            <v>0</v>
          </cell>
          <cell r="Z112">
            <v>1.9672856874453846</v>
          </cell>
          <cell r="AC112">
            <v>0</v>
          </cell>
          <cell r="AD112">
            <v>2.0527041026950132</v>
          </cell>
          <cell r="AG112">
            <v>0</v>
          </cell>
          <cell r="AH112">
            <v>2.1241300398123553</v>
          </cell>
          <cell r="AK112">
            <v>0</v>
          </cell>
          <cell r="AL112">
            <v>2.1824452579137747</v>
          </cell>
        </row>
        <row r="113">
          <cell r="D113" t="str">
            <v>Bay Point CDP</v>
          </cell>
          <cell r="Q113">
            <v>0</v>
          </cell>
          <cell r="R113">
            <v>0</v>
          </cell>
          <cell r="U113">
            <v>0</v>
          </cell>
          <cell r="V113">
            <v>0</v>
          </cell>
          <cell r="Y113">
            <v>0</v>
          </cell>
          <cell r="Z113">
            <v>0</v>
          </cell>
          <cell r="AC113">
            <v>0</v>
          </cell>
          <cell r="AD113">
            <v>0</v>
          </cell>
          <cell r="AG113">
            <v>0</v>
          </cell>
          <cell r="AH113">
            <v>0</v>
          </cell>
          <cell r="AK113">
            <v>0</v>
          </cell>
          <cell r="AL113">
            <v>0</v>
          </cell>
        </row>
        <row r="114">
          <cell r="D114" t="str">
            <v>Bay Point CDP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Y114">
            <v>0</v>
          </cell>
          <cell r="Z114">
            <v>0</v>
          </cell>
          <cell r="AC114">
            <v>0</v>
          </cell>
          <cell r="AD114">
            <v>0</v>
          </cell>
          <cell r="AG114">
            <v>0</v>
          </cell>
          <cell r="AH114">
            <v>0</v>
          </cell>
          <cell r="AK114">
            <v>0</v>
          </cell>
          <cell r="AL114">
            <v>0</v>
          </cell>
        </row>
        <row r="115">
          <cell r="D115" t="str">
            <v>Bay Point CDP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Y115">
            <v>0</v>
          </cell>
          <cell r="Z115">
            <v>0</v>
          </cell>
          <cell r="AC115">
            <v>0</v>
          </cell>
          <cell r="AD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D116" t="str">
            <v>Bay Point CDP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Y116">
            <v>0</v>
          </cell>
          <cell r="Z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K116">
            <v>0</v>
          </cell>
          <cell r="AL116">
            <v>0</v>
          </cell>
        </row>
        <row r="117">
          <cell r="D117" t="str">
            <v>Bay Point CDP</v>
          </cell>
          <cell r="Q117">
            <v>0</v>
          </cell>
          <cell r="R117">
            <v>0</v>
          </cell>
          <cell r="U117">
            <v>0</v>
          </cell>
          <cell r="V117">
            <v>0</v>
          </cell>
          <cell r="Y117">
            <v>0</v>
          </cell>
          <cell r="Z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</row>
        <row r="118">
          <cell r="D118" t="str">
            <v>Bay Point CDP</v>
          </cell>
          <cell r="Q118">
            <v>0</v>
          </cell>
          <cell r="R118">
            <v>0</v>
          </cell>
          <cell r="U118">
            <v>0</v>
          </cell>
          <cell r="V118">
            <v>0</v>
          </cell>
          <cell r="Y118">
            <v>0</v>
          </cell>
          <cell r="Z118">
            <v>0</v>
          </cell>
          <cell r="AC118">
            <v>0</v>
          </cell>
          <cell r="AD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</row>
        <row r="119">
          <cell r="D119" t="str">
            <v>Bay Point CDP</v>
          </cell>
          <cell r="Q119">
            <v>0</v>
          </cell>
          <cell r="R119">
            <v>0</v>
          </cell>
          <cell r="U119">
            <v>0</v>
          </cell>
          <cell r="V119">
            <v>0</v>
          </cell>
          <cell r="Y119">
            <v>0</v>
          </cell>
          <cell r="Z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</row>
        <row r="120">
          <cell r="D120" t="str">
            <v>Bay Point CDP</v>
          </cell>
          <cell r="Q120">
            <v>0</v>
          </cell>
          <cell r="R120">
            <v>0</v>
          </cell>
          <cell r="U120">
            <v>0</v>
          </cell>
          <cell r="V120">
            <v>0</v>
          </cell>
          <cell r="Y120">
            <v>0</v>
          </cell>
          <cell r="Z120">
            <v>0</v>
          </cell>
          <cell r="AC120">
            <v>0</v>
          </cell>
          <cell r="AD120">
            <v>0</v>
          </cell>
          <cell r="AG120">
            <v>0</v>
          </cell>
          <cell r="AH120">
            <v>0</v>
          </cell>
          <cell r="AK120">
            <v>0</v>
          </cell>
          <cell r="AL120">
            <v>0</v>
          </cell>
        </row>
        <row r="121">
          <cell r="D121" t="str">
            <v>Bay Point CDP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K121">
            <v>0</v>
          </cell>
          <cell r="AL121">
            <v>0</v>
          </cell>
        </row>
        <row r="122">
          <cell r="D122" t="str">
            <v>Bay Point CDP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Y122">
            <v>0</v>
          </cell>
          <cell r="Z122">
            <v>0</v>
          </cell>
          <cell r="AC122">
            <v>0</v>
          </cell>
          <cell r="AD122">
            <v>0</v>
          </cell>
          <cell r="AG122">
            <v>0</v>
          </cell>
          <cell r="AH122">
            <v>0</v>
          </cell>
          <cell r="AK122">
            <v>0</v>
          </cell>
          <cell r="AL122">
            <v>0</v>
          </cell>
        </row>
        <row r="123">
          <cell r="D123" t="str">
            <v>Bay Point CDP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Y123">
            <v>0</v>
          </cell>
          <cell r="Z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K123">
            <v>0</v>
          </cell>
          <cell r="AL123">
            <v>0</v>
          </cell>
        </row>
        <row r="124">
          <cell r="D124" t="str">
            <v>Bay Point CDP</v>
          </cell>
          <cell r="Q124">
            <v>0</v>
          </cell>
          <cell r="R124">
            <v>0</v>
          </cell>
          <cell r="U124">
            <v>0</v>
          </cell>
          <cell r="V124">
            <v>0</v>
          </cell>
          <cell r="Y124">
            <v>0</v>
          </cell>
          <cell r="Z124">
            <v>0</v>
          </cell>
          <cell r="AC124">
            <v>0</v>
          </cell>
          <cell r="AD124">
            <v>0</v>
          </cell>
          <cell r="AG124">
            <v>0</v>
          </cell>
          <cell r="AH124">
            <v>0</v>
          </cell>
          <cell r="AK124">
            <v>0</v>
          </cell>
          <cell r="AL124">
            <v>0</v>
          </cell>
        </row>
        <row r="125">
          <cell r="D125" t="str">
            <v>Bay Point CDP</v>
          </cell>
          <cell r="Q125">
            <v>0.47701787816233882</v>
          </cell>
          <cell r="R125">
            <v>0.47701787816233882</v>
          </cell>
          <cell r="U125">
            <v>0.72314366649338857</v>
          </cell>
          <cell r="V125">
            <v>0.72314366649338857</v>
          </cell>
          <cell r="Y125">
            <v>0.75563046997185002</v>
          </cell>
          <cell r="Z125">
            <v>0.75563046997185002</v>
          </cell>
          <cell r="AC125">
            <v>0.8094820810380442</v>
          </cell>
          <cell r="AD125">
            <v>0.8094820810380442</v>
          </cell>
          <cell r="AG125">
            <v>0.83305680129312043</v>
          </cell>
          <cell r="AH125">
            <v>0.83305680129312043</v>
          </cell>
          <cell r="AK125">
            <v>0.8419019053398894</v>
          </cell>
          <cell r="AL125">
            <v>0.8419019053398894</v>
          </cell>
        </row>
        <row r="126">
          <cell r="D126" t="str">
            <v>Bayview CDP</v>
          </cell>
          <cell r="Q126">
            <v>0</v>
          </cell>
          <cell r="R126">
            <v>0</v>
          </cell>
          <cell r="U126">
            <v>0</v>
          </cell>
          <cell r="V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G126">
            <v>0</v>
          </cell>
          <cell r="AH126">
            <v>0</v>
          </cell>
          <cell r="AK126">
            <v>0</v>
          </cell>
          <cell r="AL126">
            <v>0</v>
          </cell>
        </row>
        <row r="127">
          <cell r="D127" t="str">
            <v>Bayview CDP</v>
          </cell>
          <cell r="Q127">
            <v>4.4001515892329444</v>
          </cell>
          <cell r="R127">
            <v>11.518043865933295</v>
          </cell>
          <cell r="U127">
            <v>5.6769065615994192</v>
          </cell>
          <cell r="V127">
            <v>14.860137764186714</v>
          </cell>
          <cell r="Y127">
            <v>6.3555637949648078</v>
          </cell>
          <cell r="Z127">
            <v>16.63662287505494</v>
          </cell>
          <cell r="AC127">
            <v>8.3408676548589913</v>
          </cell>
          <cell r="AD127">
            <v>21.833447684777948</v>
          </cell>
          <cell r="AG127">
            <v>9.5267126497328629</v>
          </cell>
          <cell r="AH127">
            <v>24.93757134783014</v>
          </cell>
          <cell r="AK127">
            <v>9.8726236095804776</v>
          </cell>
          <cell r="AL127">
            <v>25.843044154490077</v>
          </cell>
        </row>
        <row r="128">
          <cell r="D128" t="str">
            <v>Bayview CDP</v>
          </cell>
          <cell r="Q128">
            <v>0.31944790374857746</v>
          </cell>
          <cell r="R128">
            <v>0.95572528580517035</v>
          </cell>
          <cell r="U128">
            <v>0.43866955935391033</v>
          </cell>
          <cell r="V128">
            <v>1.3124130259358793</v>
          </cell>
          <cell r="Y128">
            <v>0.62605128122982734</v>
          </cell>
          <cell r="Z128">
            <v>1.8730222758105488</v>
          </cell>
          <cell r="AC128">
            <v>1.5586896839521747</v>
          </cell>
          <cell r="AD128">
            <v>4.6632929069060962</v>
          </cell>
          <cell r="AG128">
            <v>2.1040338522674031</v>
          </cell>
          <cell r="AH128">
            <v>6.2948553776852645</v>
          </cell>
          <cell r="AK128">
            <v>2.3588109043982475</v>
          </cell>
          <cell r="AL128">
            <v>7.0570981975849207</v>
          </cell>
        </row>
        <row r="129">
          <cell r="D129" t="str">
            <v>Concord city</v>
          </cell>
          <cell r="Q129">
            <v>0</v>
          </cell>
          <cell r="R129">
            <v>0.11947998272680251</v>
          </cell>
          <cell r="U129">
            <v>0</v>
          </cell>
          <cell r="V129">
            <v>0.29260479452877086</v>
          </cell>
          <cell r="Y129">
            <v>0</v>
          </cell>
          <cell r="Z129">
            <v>0.54090170506089608</v>
          </cell>
          <cell r="AC129">
            <v>0</v>
          </cell>
          <cell r="AD129">
            <v>0.59197365676126956</v>
          </cell>
          <cell r="AG129">
            <v>0</v>
          </cell>
          <cell r="AH129">
            <v>0.65237731746686833</v>
          </cell>
          <cell r="AK129">
            <v>0</v>
          </cell>
          <cell r="AL129">
            <v>0.69197945213689394</v>
          </cell>
        </row>
        <row r="130">
          <cell r="D130" t="str">
            <v>Crockett CDP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Y130">
            <v>0</v>
          </cell>
          <cell r="Z130">
            <v>0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K130">
            <v>0</v>
          </cell>
          <cell r="AL130">
            <v>0</v>
          </cell>
        </row>
        <row r="131">
          <cell r="D131" t="str">
            <v>Crockett CDP</v>
          </cell>
          <cell r="Q131">
            <v>0</v>
          </cell>
          <cell r="R131">
            <v>0</v>
          </cell>
          <cell r="U131">
            <v>0</v>
          </cell>
          <cell r="V131">
            <v>0</v>
          </cell>
          <cell r="Y131">
            <v>0</v>
          </cell>
          <cell r="Z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K131">
            <v>0</v>
          </cell>
          <cell r="AL131">
            <v>0</v>
          </cell>
        </row>
        <row r="132">
          <cell r="D132" t="str">
            <v>Crockett CDP</v>
          </cell>
          <cell r="Q132">
            <v>0</v>
          </cell>
          <cell r="R132">
            <v>0</v>
          </cell>
          <cell r="U132">
            <v>0</v>
          </cell>
          <cell r="V132">
            <v>0</v>
          </cell>
          <cell r="Y132">
            <v>0</v>
          </cell>
          <cell r="Z132">
            <v>0</v>
          </cell>
          <cell r="AC132">
            <v>0</v>
          </cell>
          <cell r="AD132">
            <v>0</v>
          </cell>
          <cell r="AG132">
            <v>0</v>
          </cell>
          <cell r="AH132">
            <v>0</v>
          </cell>
          <cell r="AK132">
            <v>0</v>
          </cell>
          <cell r="AL132">
            <v>0</v>
          </cell>
        </row>
        <row r="133">
          <cell r="D133" t="str">
            <v>Crockett CDP</v>
          </cell>
          <cell r="Q133">
            <v>0</v>
          </cell>
          <cell r="R133">
            <v>0</v>
          </cell>
          <cell r="U133">
            <v>0</v>
          </cell>
          <cell r="V133">
            <v>0</v>
          </cell>
          <cell r="Y133">
            <v>0</v>
          </cell>
          <cell r="Z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K133">
            <v>0</v>
          </cell>
          <cell r="AL133">
            <v>0</v>
          </cell>
        </row>
        <row r="134">
          <cell r="D134" t="str">
            <v>Crockett CDP</v>
          </cell>
          <cell r="Q134">
            <v>0</v>
          </cell>
          <cell r="R134">
            <v>0</v>
          </cell>
          <cell r="U134">
            <v>0</v>
          </cell>
          <cell r="V134">
            <v>0</v>
          </cell>
          <cell r="Y134">
            <v>0</v>
          </cell>
          <cell r="Z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K134">
            <v>0</v>
          </cell>
          <cell r="AL134">
            <v>0</v>
          </cell>
        </row>
        <row r="135">
          <cell r="D135" t="str">
            <v>Crockett CDP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Y135">
            <v>0</v>
          </cell>
          <cell r="Z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K135">
            <v>0</v>
          </cell>
          <cell r="AL135">
            <v>0</v>
          </cell>
        </row>
        <row r="136">
          <cell r="D136" t="str">
            <v>Crockett CDP</v>
          </cell>
          <cell r="Q136">
            <v>1.603798598086377E-2</v>
          </cell>
          <cell r="R136">
            <v>4.0094964952159425E-2</v>
          </cell>
          <cell r="U136">
            <v>2.1594930449907984E-2</v>
          </cell>
          <cell r="V136">
            <v>5.398732612476996E-2</v>
          </cell>
          <cell r="Y136">
            <v>2.4830271572306179E-2</v>
          </cell>
          <cell r="Z136">
            <v>6.2075678930765446E-2</v>
          </cell>
          <cell r="AC136">
            <v>2.5119983462616732E-2</v>
          </cell>
          <cell r="AD136">
            <v>6.2799958656541824E-2</v>
          </cell>
          <cell r="AG136">
            <v>2.6681725481651816E-2</v>
          </cell>
          <cell r="AH136">
            <v>6.6704313704129534E-2</v>
          </cell>
          <cell r="AK136">
            <v>2.6681725481651816E-2</v>
          </cell>
          <cell r="AL136">
            <v>6.6704313704129534E-2</v>
          </cell>
        </row>
        <row r="137">
          <cell r="D137" t="str">
            <v>Hercules city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Y137">
            <v>0</v>
          </cell>
          <cell r="Z137">
            <v>0</v>
          </cell>
          <cell r="AC137">
            <v>0</v>
          </cell>
          <cell r="AD137">
            <v>0</v>
          </cell>
          <cell r="AG137">
            <v>0</v>
          </cell>
          <cell r="AH137">
            <v>0</v>
          </cell>
          <cell r="AK137">
            <v>0</v>
          </cell>
          <cell r="AL137">
            <v>0</v>
          </cell>
        </row>
        <row r="138">
          <cell r="D138" t="str">
            <v>Hercules city</v>
          </cell>
          <cell r="Q138">
            <v>0</v>
          </cell>
          <cell r="R138">
            <v>0</v>
          </cell>
          <cell r="U138">
            <v>0</v>
          </cell>
          <cell r="V138">
            <v>0</v>
          </cell>
          <cell r="Y138">
            <v>0</v>
          </cell>
          <cell r="Z138">
            <v>0</v>
          </cell>
          <cell r="AC138">
            <v>0</v>
          </cell>
          <cell r="AD138">
            <v>0</v>
          </cell>
          <cell r="AG138">
            <v>0</v>
          </cell>
          <cell r="AH138">
            <v>0</v>
          </cell>
          <cell r="AK138">
            <v>0</v>
          </cell>
          <cell r="AL138">
            <v>0</v>
          </cell>
        </row>
        <row r="139">
          <cell r="D139" t="str">
            <v>Hercules city</v>
          </cell>
          <cell r="Q139">
            <v>0</v>
          </cell>
          <cell r="R139">
            <v>0</v>
          </cell>
          <cell r="U139">
            <v>0</v>
          </cell>
          <cell r="V139">
            <v>0</v>
          </cell>
          <cell r="Y139">
            <v>0</v>
          </cell>
          <cell r="Z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K139">
            <v>0</v>
          </cell>
          <cell r="AL139">
            <v>0</v>
          </cell>
        </row>
        <row r="140">
          <cell r="D140" t="str">
            <v>Hercules city</v>
          </cell>
          <cell r="Q140">
            <v>0</v>
          </cell>
          <cell r="R140">
            <v>0</v>
          </cell>
          <cell r="U140">
            <v>0</v>
          </cell>
          <cell r="V140">
            <v>0</v>
          </cell>
          <cell r="Y140">
            <v>0</v>
          </cell>
          <cell r="Z140">
            <v>0</v>
          </cell>
          <cell r="AC140">
            <v>0</v>
          </cell>
          <cell r="AD140">
            <v>0</v>
          </cell>
          <cell r="AG140">
            <v>0</v>
          </cell>
          <cell r="AH140">
            <v>0</v>
          </cell>
          <cell r="AK140">
            <v>0</v>
          </cell>
          <cell r="AL140">
            <v>0</v>
          </cell>
        </row>
        <row r="141">
          <cell r="D141" t="str">
            <v>Hercules city</v>
          </cell>
          <cell r="Q141">
            <v>0</v>
          </cell>
          <cell r="R141">
            <v>0</v>
          </cell>
          <cell r="U141">
            <v>0</v>
          </cell>
          <cell r="V141">
            <v>0</v>
          </cell>
          <cell r="Y141">
            <v>0</v>
          </cell>
          <cell r="Z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K141">
            <v>0</v>
          </cell>
          <cell r="AL141">
            <v>0</v>
          </cell>
        </row>
        <row r="142">
          <cell r="D142" t="str">
            <v>Hercules city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Y142">
            <v>0</v>
          </cell>
          <cell r="Z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K142">
            <v>0</v>
          </cell>
          <cell r="AL142">
            <v>0</v>
          </cell>
        </row>
        <row r="143">
          <cell r="D143" t="str">
            <v>Hercules city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Y143">
            <v>0</v>
          </cell>
          <cell r="Z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K143">
            <v>0</v>
          </cell>
          <cell r="AL143">
            <v>0</v>
          </cell>
        </row>
        <row r="144">
          <cell r="D144" t="str">
            <v>Hercules city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Y144">
            <v>0</v>
          </cell>
          <cell r="Z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K144">
            <v>0</v>
          </cell>
          <cell r="AL144">
            <v>0</v>
          </cell>
        </row>
        <row r="145">
          <cell r="D145" t="str">
            <v>Hercules city</v>
          </cell>
          <cell r="Q145">
            <v>0</v>
          </cell>
          <cell r="R145">
            <v>0</v>
          </cell>
          <cell r="U145">
            <v>0</v>
          </cell>
          <cell r="V145">
            <v>0</v>
          </cell>
          <cell r="Y145">
            <v>0</v>
          </cell>
          <cell r="Z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K145">
            <v>0</v>
          </cell>
          <cell r="AL145">
            <v>0</v>
          </cell>
        </row>
        <row r="146">
          <cell r="D146" t="str">
            <v>Hercules city</v>
          </cell>
          <cell r="Q146">
            <v>0</v>
          </cell>
          <cell r="R146">
            <v>0</v>
          </cell>
          <cell r="U146">
            <v>0</v>
          </cell>
          <cell r="V146">
            <v>0</v>
          </cell>
          <cell r="Y146">
            <v>0</v>
          </cell>
          <cell r="Z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K146">
            <v>0</v>
          </cell>
          <cell r="AL146">
            <v>0</v>
          </cell>
        </row>
        <row r="147">
          <cell r="D147" t="str">
            <v>Hercules city</v>
          </cell>
          <cell r="Q147">
            <v>0</v>
          </cell>
          <cell r="R147">
            <v>0</v>
          </cell>
          <cell r="U147">
            <v>0</v>
          </cell>
          <cell r="V147">
            <v>0</v>
          </cell>
          <cell r="Y147">
            <v>0</v>
          </cell>
          <cell r="Z147">
            <v>0</v>
          </cell>
          <cell r="AC147">
            <v>0</v>
          </cell>
          <cell r="AD147">
            <v>0</v>
          </cell>
          <cell r="AG147">
            <v>0</v>
          </cell>
          <cell r="AH147">
            <v>0</v>
          </cell>
          <cell r="AK147">
            <v>0</v>
          </cell>
          <cell r="AL147">
            <v>0</v>
          </cell>
        </row>
        <row r="148">
          <cell r="D148" t="str">
            <v>Hercules city</v>
          </cell>
          <cell r="Q148">
            <v>0</v>
          </cell>
          <cell r="R148">
            <v>0</v>
          </cell>
          <cell r="U148">
            <v>0</v>
          </cell>
          <cell r="V148">
            <v>0</v>
          </cell>
          <cell r="Y148">
            <v>0</v>
          </cell>
          <cell r="Z148">
            <v>0</v>
          </cell>
          <cell r="AC148">
            <v>0</v>
          </cell>
          <cell r="AD148">
            <v>0</v>
          </cell>
          <cell r="AG148">
            <v>1.4026013740157011E-2</v>
          </cell>
          <cell r="AH148">
            <v>4.2078041220471034E-2</v>
          </cell>
          <cell r="AK148">
            <v>0.12463478858342666</v>
          </cell>
          <cell r="AL148">
            <v>0.37390436575027997</v>
          </cell>
        </row>
        <row r="149">
          <cell r="D149" t="str">
            <v>Hercules city</v>
          </cell>
          <cell r="Q149">
            <v>2.1584749860496144</v>
          </cell>
          <cell r="R149">
            <v>5.0677238802903988</v>
          </cell>
          <cell r="U149">
            <v>2.7405377217912017</v>
          </cell>
          <cell r="V149">
            <v>6.4343059555097772</v>
          </cell>
          <cell r="Y149">
            <v>3.5654649134906515</v>
          </cell>
          <cell r="Z149">
            <v>8.3710915360215292</v>
          </cell>
          <cell r="AC149">
            <v>4.1841239150266798</v>
          </cell>
          <cell r="AD149">
            <v>9.8235952787582921</v>
          </cell>
          <cell r="AG149">
            <v>4.8131321907832278</v>
          </cell>
          <cell r="AH149">
            <v>11.300397317491058</v>
          </cell>
          <cell r="AK149">
            <v>5.4032252392182833</v>
          </cell>
          <cell r="AL149">
            <v>12.685833170338579</v>
          </cell>
        </row>
        <row r="150">
          <cell r="D150" t="str">
            <v>Hercules city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Y150">
            <v>0</v>
          </cell>
          <cell r="Z150">
            <v>0</v>
          </cell>
          <cell r="AC150">
            <v>0</v>
          </cell>
          <cell r="AD150">
            <v>0</v>
          </cell>
          <cell r="AG150">
            <v>2.1236701470056389</v>
          </cell>
          <cell r="AH150">
            <v>6.0170654165159769</v>
          </cell>
          <cell r="AK150">
            <v>4.7427345694327512</v>
          </cell>
          <cell r="AL150">
            <v>13.437747946726127</v>
          </cell>
        </row>
        <row r="151">
          <cell r="D151" t="str">
            <v>Hercules city</v>
          </cell>
          <cell r="Q151">
            <v>0.94528135619851894</v>
          </cell>
          <cell r="R151">
            <v>3.1248689436922263</v>
          </cell>
          <cell r="U151">
            <v>1.0480358104812799</v>
          </cell>
          <cell r="V151">
            <v>3.4645500353679721</v>
          </cell>
          <cell r="Y151">
            <v>1.1377754453681594</v>
          </cell>
          <cell r="Z151">
            <v>3.7612073176019374</v>
          </cell>
          <cell r="AC151">
            <v>1.1770595867780103</v>
          </cell>
          <cell r="AD151">
            <v>3.8910710800323431</v>
          </cell>
          <cell r="AG151">
            <v>1.2342253883559804</v>
          </cell>
          <cell r="AH151">
            <v>4.080047237047288</v>
          </cell>
          <cell r="AK151">
            <v>1.2696850183414179</v>
          </cell>
          <cell r="AL151">
            <v>4.1972681002005867</v>
          </cell>
        </row>
        <row r="152">
          <cell r="D152" t="str">
            <v>Martinez city</v>
          </cell>
          <cell r="Q152">
            <v>0</v>
          </cell>
          <cell r="R152">
            <v>0</v>
          </cell>
          <cell r="U152">
            <v>0</v>
          </cell>
          <cell r="V152">
            <v>0</v>
          </cell>
          <cell r="Y152">
            <v>0</v>
          </cell>
          <cell r="Z152">
            <v>0</v>
          </cell>
          <cell r="AC152">
            <v>0</v>
          </cell>
          <cell r="AD152">
            <v>0</v>
          </cell>
          <cell r="AG152">
            <v>0</v>
          </cell>
          <cell r="AH152">
            <v>0</v>
          </cell>
          <cell r="AK152">
            <v>0</v>
          </cell>
          <cell r="AL152">
            <v>0</v>
          </cell>
        </row>
        <row r="153">
          <cell r="D153" t="str">
            <v>Martinez city</v>
          </cell>
          <cell r="Q153">
            <v>0</v>
          </cell>
          <cell r="R153">
            <v>0</v>
          </cell>
          <cell r="U153">
            <v>0</v>
          </cell>
          <cell r="V153">
            <v>0</v>
          </cell>
          <cell r="Y153">
            <v>0</v>
          </cell>
          <cell r="Z153">
            <v>0</v>
          </cell>
          <cell r="AC153">
            <v>0</v>
          </cell>
          <cell r="AD153">
            <v>0</v>
          </cell>
          <cell r="AG153">
            <v>0</v>
          </cell>
          <cell r="AH153">
            <v>0</v>
          </cell>
          <cell r="AK153">
            <v>0</v>
          </cell>
          <cell r="AL153">
            <v>0</v>
          </cell>
        </row>
        <row r="154">
          <cell r="D154" t="str">
            <v>Martinez city</v>
          </cell>
          <cell r="Q154">
            <v>0</v>
          </cell>
          <cell r="R154">
            <v>0</v>
          </cell>
          <cell r="U154">
            <v>0</v>
          </cell>
          <cell r="V154">
            <v>0</v>
          </cell>
          <cell r="Y154">
            <v>0</v>
          </cell>
          <cell r="Z154">
            <v>0</v>
          </cell>
          <cell r="AC154">
            <v>0</v>
          </cell>
          <cell r="AD154">
            <v>0</v>
          </cell>
          <cell r="AG154">
            <v>0</v>
          </cell>
          <cell r="AH154">
            <v>0</v>
          </cell>
          <cell r="AK154">
            <v>0</v>
          </cell>
          <cell r="AL154">
            <v>0</v>
          </cell>
        </row>
        <row r="155">
          <cell r="D155" t="str">
            <v>Martinez city</v>
          </cell>
          <cell r="Q155">
            <v>0</v>
          </cell>
          <cell r="R155">
            <v>0</v>
          </cell>
          <cell r="U155">
            <v>0</v>
          </cell>
          <cell r="V155">
            <v>0</v>
          </cell>
          <cell r="Y155">
            <v>0</v>
          </cell>
          <cell r="Z155">
            <v>0</v>
          </cell>
          <cell r="AC155">
            <v>0</v>
          </cell>
          <cell r="AD155">
            <v>0</v>
          </cell>
          <cell r="AG155">
            <v>0</v>
          </cell>
          <cell r="AH155">
            <v>0</v>
          </cell>
          <cell r="AK155">
            <v>0</v>
          </cell>
          <cell r="AL155">
            <v>0</v>
          </cell>
        </row>
        <row r="156">
          <cell r="D156" t="str">
            <v>Martinez city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Y156">
            <v>0</v>
          </cell>
          <cell r="Z156">
            <v>0</v>
          </cell>
          <cell r="AC156">
            <v>0</v>
          </cell>
          <cell r="AD156">
            <v>0</v>
          </cell>
          <cell r="AG156">
            <v>0</v>
          </cell>
          <cell r="AH156">
            <v>0</v>
          </cell>
          <cell r="AK156">
            <v>0</v>
          </cell>
          <cell r="AL156">
            <v>0</v>
          </cell>
        </row>
        <row r="157">
          <cell r="D157" t="str">
            <v>Martinez city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Y157">
            <v>0</v>
          </cell>
          <cell r="Z157">
            <v>0</v>
          </cell>
          <cell r="AC157">
            <v>0</v>
          </cell>
          <cell r="AD157">
            <v>0</v>
          </cell>
          <cell r="AG157">
            <v>0</v>
          </cell>
          <cell r="AH157">
            <v>0</v>
          </cell>
          <cell r="AK157">
            <v>0</v>
          </cell>
          <cell r="AL157">
            <v>0</v>
          </cell>
        </row>
        <row r="158">
          <cell r="D158" t="str">
            <v>Martinez city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Y158">
            <v>0</v>
          </cell>
          <cell r="Z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K158">
            <v>0</v>
          </cell>
          <cell r="AL158">
            <v>0</v>
          </cell>
        </row>
        <row r="159">
          <cell r="D159" t="str">
            <v>Martinez city</v>
          </cell>
          <cell r="Q159">
            <v>0</v>
          </cell>
          <cell r="R159">
            <v>0</v>
          </cell>
          <cell r="U159">
            <v>0</v>
          </cell>
          <cell r="V159">
            <v>0</v>
          </cell>
          <cell r="Y159">
            <v>0</v>
          </cell>
          <cell r="Z159">
            <v>0</v>
          </cell>
          <cell r="AC159">
            <v>0</v>
          </cell>
          <cell r="AD159">
            <v>0</v>
          </cell>
          <cell r="AG159">
            <v>0</v>
          </cell>
          <cell r="AH159">
            <v>0</v>
          </cell>
          <cell r="AK159">
            <v>0</v>
          </cell>
          <cell r="AL159">
            <v>0</v>
          </cell>
        </row>
        <row r="160">
          <cell r="D160" t="str">
            <v>Martinez city</v>
          </cell>
          <cell r="Q160">
            <v>0</v>
          </cell>
          <cell r="R160">
            <v>0</v>
          </cell>
          <cell r="U160">
            <v>0</v>
          </cell>
          <cell r="V160">
            <v>0</v>
          </cell>
          <cell r="Y160">
            <v>0</v>
          </cell>
          <cell r="Z160">
            <v>0</v>
          </cell>
          <cell r="AC160">
            <v>0</v>
          </cell>
          <cell r="AD160">
            <v>0</v>
          </cell>
          <cell r="AG160">
            <v>0</v>
          </cell>
          <cell r="AH160">
            <v>0</v>
          </cell>
          <cell r="AK160">
            <v>0</v>
          </cell>
          <cell r="AL160">
            <v>0</v>
          </cell>
        </row>
        <row r="161">
          <cell r="D161" t="str">
            <v>Martinez city</v>
          </cell>
          <cell r="Q161">
            <v>0</v>
          </cell>
          <cell r="R161">
            <v>0</v>
          </cell>
          <cell r="U161">
            <v>0</v>
          </cell>
          <cell r="V161">
            <v>0</v>
          </cell>
          <cell r="Y161">
            <v>0</v>
          </cell>
          <cell r="Z161">
            <v>0</v>
          </cell>
          <cell r="AC161">
            <v>0</v>
          </cell>
          <cell r="AD161">
            <v>0</v>
          </cell>
          <cell r="AG161">
            <v>0</v>
          </cell>
          <cell r="AH161">
            <v>0</v>
          </cell>
          <cell r="AK161">
            <v>0</v>
          </cell>
          <cell r="AL161">
            <v>0</v>
          </cell>
        </row>
        <row r="162">
          <cell r="D162" t="str">
            <v>Martinez city</v>
          </cell>
          <cell r="Q162">
            <v>0</v>
          </cell>
          <cell r="R162">
            <v>0</v>
          </cell>
          <cell r="U162">
            <v>0</v>
          </cell>
          <cell r="V162">
            <v>0</v>
          </cell>
          <cell r="Y162">
            <v>0</v>
          </cell>
          <cell r="Z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K162">
            <v>0</v>
          </cell>
          <cell r="AL162">
            <v>0</v>
          </cell>
        </row>
        <row r="163">
          <cell r="D163" t="str">
            <v>Martinez city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G163">
            <v>0</v>
          </cell>
          <cell r="AH163">
            <v>0</v>
          </cell>
          <cell r="AK163">
            <v>0</v>
          </cell>
          <cell r="AL163">
            <v>0</v>
          </cell>
        </row>
        <row r="164">
          <cell r="D164" t="str">
            <v>Martinez city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Y164">
            <v>0</v>
          </cell>
          <cell r="Z164">
            <v>0</v>
          </cell>
          <cell r="AC164">
            <v>0</v>
          </cell>
          <cell r="AD164">
            <v>0</v>
          </cell>
          <cell r="AG164">
            <v>0</v>
          </cell>
          <cell r="AH164">
            <v>0</v>
          </cell>
          <cell r="AK164">
            <v>0</v>
          </cell>
          <cell r="AL164">
            <v>0</v>
          </cell>
        </row>
        <row r="165">
          <cell r="D165" t="str">
            <v>Martinez city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Y165">
            <v>0</v>
          </cell>
          <cell r="Z165">
            <v>0</v>
          </cell>
          <cell r="AC165">
            <v>0</v>
          </cell>
          <cell r="AD165">
            <v>0</v>
          </cell>
          <cell r="AG165">
            <v>0</v>
          </cell>
          <cell r="AH165">
            <v>0</v>
          </cell>
          <cell r="AK165">
            <v>0</v>
          </cell>
          <cell r="AL165">
            <v>0</v>
          </cell>
        </row>
        <row r="166">
          <cell r="D166" t="str">
            <v>Martinez city</v>
          </cell>
          <cell r="Q166">
            <v>0</v>
          </cell>
          <cell r="R166">
            <v>0</v>
          </cell>
          <cell r="U166">
            <v>0</v>
          </cell>
          <cell r="V166">
            <v>0</v>
          </cell>
          <cell r="Y166">
            <v>0</v>
          </cell>
          <cell r="Z166">
            <v>0</v>
          </cell>
          <cell r="AC166">
            <v>0</v>
          </cell>
          <cell r="AD166">
            <v>0</v>
          </cell>
          <cell r="AG166">
            <v>0</v>
          </cell>
          <cell r="AH166">
            <v>0</v>
          </cell>
          <cell r="AK166">
            <v>0</v>
          </cell>
          <cell r="AL166">
            <v>0</v>
          </cell>
        </row>
        <row r="167">
          <cell r="D167" t="str">
            <v>Martinez city</v>
          </cell>
          <cell r="Q167">
            <v>0</v>
          </cell>
          <cell r="R167">
            <v>0</v>
          </cell>
          <cell r="U167">
            <v>0</v>
          </cell>
          <cell r="V167">
            <v>0</v>
          </cell>
          <cell r="Y167">
            <v>0</v>
          </cell>
          <cell r="Z167">
            <v>0</v>
          </cell>
          <cell r="AC167">
            <v>0</v>
          </cell>
          <cell r="AD167">
            <v>0</v>
          </cell>
          <cell r="AG167">
            <v>0</v>
          </cell>
          <cell r="AH167">
            <v>0</v>
          </cell>
          <cell r="AK167">
            <v>0</v>
          </cell>
          <cell r="AL167">
            <v>0</v>
          </cell>
        </row>
        <row r="168">
          <cell r="D168" t="str">
            <v>Martinez city</v>
          </cell>
          <cell r="Q168">
            <v>0</v>
          </cell>
          <cell r="R168">
            <v>0</v>
          </cell>
          <cell r="U168">
            <v>0</v>
          </cell>
          <cell r="V168">
            <v>0</v>
          </cell>
          <cell r="Y168">
            <v>0</v>
          </cell>
          <cell r="Z168">
            <v>0</v>
          </cell>
          <cell r="AC168">
            <v>0</v>
          </cell>
          <cell r="AD168">
            <v>0</v>
          </cell>
          <cell r="AG168">
            <v>0</v>
          </cell>
          <cell r="AH168">
            <v>0</v>
          </cell>
          <cell r="AK168">
            <v>0</v>
          </cell>
          <cell r="AL168">
            <v>0</v>
          </cell>
        </row>
        <row r="169">
          <cell r="D169" t="str">
            <v>Martinez city</v>
          </cell>
          <cell r="Q169">
            <v>0</v>
          </cell>
          <cell r="R169">
            <v>0</v>
          </cell>
          <cell r="U169">
            <v>0</v>
          </cell>
          <cell r="V169">
            <v>0</v>
          </cell>
          <cell r="Y169">
            <v>0</v>
          </cell>
          <cell r="Z169">
            <v>0</v>
          </cell>
          <cell r="AC169">
            <v>0</v>
          </cell>
          <cell r="AD169">
            <v>0</v>
          </cell>
          <cell r="AG169">
            <v>0</v>
          </cell>
          <cell r="AH169">
            <v>0</v>
          </cell>
          <cell r="AK169">
            <v>0</v>
          </cell>
          <cell r="AL169">
            <v>0</v>
          </cell>
        </row>
        <row r="170">
          <cell r="D170" t="str">
            <v>Martinez city</v>
          </cell>
          <cell r="Q170">
            <v>0</v>
          </cell>
          <cell r="R170">
            <v>0</v>
          </cell>
          <cell r="U170">
            <v>0</v>
          </cell>
          <cell r="V170">
            <v>0</v>
          </cell>
          <cell r="Y170">
            <v>0</v>
          </cell>
          <cell r="Z170">
            <v>0</v>
          </cell>
          <cell r="AC170">
            <v>0</v>
          </cell>
          <cell r="AD170">
            <v>0</v>
          </cell>
          <cell r="AG170">
            <v>0</v>
          </cell>
          <cell r="AH170">
            <v>0</v>
          </cell>
          <cell r="AK170">
            <v>0</v>
          </cell>
          <cell r="AL170">
            <v>0</v>
          </cell>
        </row>
        <row r="171">
          <cell r="D171" t="str">
            <v>Martinez city</v>
          </cell>
          <cell r="Q171">
            <v>0</v>
          </cell>
          <cell r="R171">
            <v>0</v>
          </cell>
          <cell r="U171">
            <v>0</v>
          </cell>
          <cell r="V171">
            <v>0</v>
          </cell>
          <cell r="Y171">
            <v>0</v>
          </cell>
          <cell r="Z171">
            <v>0</v>
          </cell>
          <cell r="AC171">
            <v>0</v>
          </cell>
          <cell r="AD171">
            <v>0</v>
          </cell>
          <cell r="AG171">
            <v>0</v>
          </cell>
          <cell r="AH171">
            <v>0</v>
          </cell>
          <cell r="AK171">
            <v>0</v>
          </cell>
          <cell r="AL171">
            <v>0</v>
          </cell>
        </row>
        <row r="172">
          <cell r="D172" t="str">
            <v>Martinez city</v>
          </cell>
          <cell r="Q172">
            <v>0</v>
          </cell>
          <cell r="R172">
            <v>0</v>
          </cell>
          <cell r="U172">
            <v>0</v>
          </cell>
          <cell r="V172">
            <v>0</v>
          </cell>
          <cell r="Y172">
            <v>0</v>
          </cell>
          <cell r="Z172">
            <v>0</v>
          </cell>
          <cell r="AC172">
            <v>0</v>
          </cell>
          <cell r="AD172">
            <v>0</v>
          </cell>
          <cell r="AG172">
            <v>0</v>
          </cell>
          <cell r="AH172">
            <v>0</v>
          </cell>
          <cell r="AK172">
            <v>0</v>
          </cell>
          <cell r="AL172">
            <v>0</v>
          </cell>
        </row>
        <row r="173">
          <cell r="D173" t="str">
            <v>Martinez city</v>
          </cell>
          <cell r="Q173">
            <v>0</v>
          </cell>
          <cell r="R173">
            <v>0</v>
          </cell>
          <cell r="U173">
            <v>0</v>
          </cell>
          <cell r="V173">
            <v>0</v>
          </cell>
          <cell r="Y173">
            <v>0</v>
          </cell>
          <cell r="Z173">
            <v>0</v>
          </cell>
          <cell r="AC173">
            <v>0</v>
          </cell>
          <cell r="AD173">
            <v>0</v>
          </cell>
          <cell r="AG173">
            <v>0</v>
          </cell>
          <cell r="AH173">
            <v>0</v>
          </cell>
          <cell r="AK173">
            <v>0</v>
          </cell>
          <cell r="AL173">
            <v>0</v>
          </cell>
        </row>
        <row r="174">
          <cell r="D174" t="str">
            <v>Martinez city</v>
          </cell>
          <cell r="Q174">
            <v>0</v>
          </cell>
          <cell r="R174">
            <v>0</v>
          </cell>
          <cell r="U174">
            <v>0</v>
          </cell>
          <cell r="V174">
            <v>0</v>
          </cell>
          <cell r="Y174">
            <v>0</v>
          </cell>
          <cell r="Z174">
            <v>0</v>
          </cell>
          <cell r="AC174">
            <v>0</v>
          </cell>
          <cell r="AD174">
            <v>0</v>
          </cell>
          <cell r="AG174">
            <v>0</v>
          </cell>
          <cell r="AH174">
            <v>0</v>
          </cell>
          <cell r="AK174">
            <v>0</v>
          </cell>
          <cell r="AL174">
            <v>0</v>
          </cell>
        </row>
        <row r="175">
          <cell r="D175" t="str">
            <v>Martinez city</v>
          </cell>
          <cell r="Q175">
            <v>0</v>
          </cell>
          <cell r="R175">
            <v>0</v>
          </cell>
          <cell r="U175">
            <v>0</v>
          </cell>
          <cell r="V175">
            <v>0</v>
          </cell>
          <cell r="Y175">
            <v>0</v>
          </cell>
          <cell r="Z175">
            <v>0</v>
          </cell>
          <cell r="AC175">
            <v>0</v>
          </cell>
          <cell r="AD175">
            <v>0</v>
          </cell>
          <cell r="AG175">
            <v>0</v>
          </cell>
          <cell r="AH175">
            <v>0</v>
          </cell>
          <cell r="AK175">
            <v>0</v>
          </cell>
          <cell r="AL175">
            <v>0</v>
          </cell>
        </row>
        <row r="176">
          <cell r="D176" t="str">
            <v>Martinez city</v>
          </cell>
          <cell r="Q176">
            <v>0</v>
          </cell>
          <cell r="R176">
            <v>0</v>
          </cell>
          <cell r="U176">
            <v>0</v>
          </cell>
          <cell r="V176">
            <v>0</v>
          </cell>
          <cell r="Y176">
            <v>0</v>
          </cell>
          <cell r="Z176">
            <v>0</v>
          </cell>
          <cell r="AC176">
            <v>0</v>
          </cell>
          <cell r="AD176">
            <v>0</v>
          </cell>
          <cell r="AG176">
            <v>0</v>
          </cell>
          <cell r="AH176">
            <v>0</v>
          </cell>
          <cell r="AK176">
            <v>0</v>
          </cell>
          <cell r="AL176">
            <v>0</v>
          </cell>
        </row>
        <row r="177">
          <cell r="D177" t="str">
            <v>Martinez city</v>
          </cell>
          <cell r="Q177">
            <v>0</v>
          </cell>
          <cell r="R177">
            <v>0</v>
          </cell>
          <cell r="U177">
            <v>0</v>
          </cell>
          <cell r="V177">
            <v>0</v>
          </cell>
          <cell r="Y177">
            <v>0</v>
          </cell>
          <cell r="Z177">
            <v>0</v>
          </cell>
          <cell r="AC177">
            <v>0</v>
          </cell>
          <cell r="AD177">
            <v>0</v>
          </cell>
          <cell r="AG177">
            <v>0</v>
          </cell>
          <cell r="AH177">
            <v>0</v>
          </cell>
          <cell r="AK177">
            <v>0</v>
          </cell>
          <cell r="AL177">
            <v>0</v>
          </cell>
        </row>
        <row r="178">
          <cell r="D178" t="str">
            <v>Martinez city</v>
          </cell>
          <cell r="Q178">
            <v>0</v>
          </cell>
          <cell r="R178">
            <v>0</v>
          </cell>
          <cell r="U178">
            <v>0</v>
          </cell>
          <cell r="V178">
            <v>0</v>
          </cell>
          <cell r="Y178">
            <v>0</v>
          </cell>
          <cell r="Z178">
            <v>0</v>
          </cell>
          <cell r="AC178">
            <v>0</v>
          </cell>
          <cell r="AD178">
            <v>0</v>
          </cell>
          <cell r="AG178">
            <v>0</v>
          </cell>
          <cell r="AH178">
            <v>0</v>
          </cell>
          <cell r="AK178">
            <v>0</v>
          </cell>
          <cell r="AL178">
            <v>0</v>
          </cell>
        </row>
        <row r="179">
          <cell r="D179" t="str">
            <v>Martinez city</v>
          </cell>
          <cell r="Q179">
            <v>0</v>
          </cell>
          <cell r="R179">
            <v>0</v>
          </cell>
          <cell r="U179">
            <v>0</v>
          </cell>
          <cell r="V179">
            <v>0</v>
          </cell>
          <cell r="Y179">
            <v>0</v>
          </cell>
          <cell r="Z179">
            <v>0</v>
          </cell>
          <cell r="AC179">
            <v>0</v>
          </cell>
          <cell r="AD179">
            <v>0</v>
          </cell>
          <cell r="AG179">
            <v>0</v>
          </cell>
          <cell r="AH179">
            <v>0</v>
          </cell>
          <cell r="AK179">
            <v>0</v>
          </cell>
          <cell r="AL179">
            <v>0</v>
          </cell>
        </row>
        <row r="180">
          <cell r="D180" t="str">
            <v>Martinez city</v>
          </cell>
          <cell r="Q180">
            <v>0</v>
          </cell>
          <cell r="R180">
            <v>0</v>
          </cell>
          <cell r="U180">
            <v>0</v>
          </cell>
          <cell r="V180">
            <v>0</v>
          </cell>
          <cell r="Y180">
            <v>0</v>
          </cell>
          <cell r="Z180">
            <v>0</v>
          </cell>
          <cell r="AC180">
            <v>0</v>
          </cell>
          <cell r="AD180">
            <v>0</v>
          </cell>
          <cell r="AG180">
            <v>0</v>
          </cell>
          <cell r="AH180">
            <v>0</v>
          </cell>
          <cell r="AK180">
            <v>0</v>
          </cell>
          <cell r="AL180">
            <v>0</v>
          </cell>
        </row>
        <row r="181">
          <cell r="D181" t="str">
            <v>Martinez city</v>
          </cell>
          <cell r="Q181">
            <v>0</v>
          </cell>
          <cell r="R181">
            <v>0</v>
          </cell>
          <cell r="U181">
            <v>0</v>
          </cell>
          <cell r="V181">
            <v>0</v>
          </cell>
          <cell r="Y181">
            <v>0</v>
          </cell>
          <cell r="Z181">
            <v>0</v>
          </cell>
          <cell r="AC181">
            <v>0</v>
          </cell>
          <cell r="AD181">
            <v>0</v>
          </cell>
          <cell r="AG181">
            <v>0</v>
          </cell>
          <cell r="AH181">
            <v>0</v>
          </cell>
          <cell r="AK181">
            <v>0</v>
          </cell>
          <cell r="AL181">
            <v>0</v>
          </cell>
        </row>
        <row r="182">
          <cell r="D182" t="str">
            <v>Martinez city</v>
          </cell>
          <cell r="Q182">
            <v>0</v>
          </cell>
          <cell r="R182">
            <v>0</v>
          </cell>
          <cell r="U182">
            <v>0</v>
          </cell>
          <cell r="V182">
            <v>0</v>
          </cell>
          <cell r="Y182">
            <v>0</v>
          </cell>
          <cell r="Z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K182">
            <v>0</v>
          </cell>
          <cell r="AL182">
            <v>0</v>
          </cell>
        </row>
        <row r="183">
          <cell r="D183" t="str">
            <v>Martinez city</v>
          </cell>
          <cell r="Q183">
            <v>0</v>
          </cell>
          <cell r="R183">
            <v>0</v>
          </cell>
          <cell r="U183">
            <v>0</v>
          </cell>
          <cell r="V183">
            <v>0</v>
          </cell>
          <cell r="Y183">
            <v>0</v>
          </cell>
          <cell r="Z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K183">
            <v>0</v>
          </cell>
          <cell r="AL183">
            <v>0</v>
          </cell>
        </row>
        <row r="184">
          <cell r="D184" t="str">
            <v>Martinez city</v>
          </cell>
          <cell r="Q184">
            <v>0</v>
          </cell>
          <cell r="R184">
            <v>0</v>
          </cell>
          <cell r="U184">
            <v>0</v>
          </cell>
          <cell r="V184">
            <v>0</v>
          </cell>
          <cell r="Y184">
            <v>0</v>
          </cell>
          <cell r="Z184">
            <v>0</v>
          </cell>
          <cell r="AC184">
            <v>0</v>
          </cell>
          <cell r="AD184">
            <v>0</v>
          </cell>
          <cell r="AG184">
            <v>0</v>
          </cell>
          <cell r="AH184">
            <v>0</v>
          </cell>
          <cell r="AK184">
            <v>0</v>
          </cell>
          <cell r="AL184">
            <v>0</v>
          </cell>
        </row>
        <row r="185">
          <cell r="D185" t="str">
            <v>Martinez city</v>
          </cell>
          <cell r="Q185">
            <v>0</v>
          </cell>
          <cell r="R185">
            <v>0</v>
          </cell>
          <cell r="U185">
            <v>0</v>
          </cell>
          <cell r="V185">
            <v>0</v>
          </cell>
          <cell r="Y185">
            <v>0</v>
          </cell>
          <cell r="Z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K185">
            <v>0</v>
          </cell>
          <cell r="AL185">
            <v>0</v>
          </cell>
        </row>
        <row r="186">
          <cell r="D186" t="str">
            <v>Martinez city</v>
          </cell>
          <cell r="Q186">
            <v>0</v>
          </cell>
          <cell r="R186">
            <v>0</v>
          </cell>
          <cell r="U186">
            <v>0</v>
          </cell>
          <cell r="V186">
            <v>0</v>
          </cell>
          <cell r="Y186">
            <v>0</v>
          </cell>
          <cell r="Z186">
            <v>0</v>
          </cell>
          <cell r="AC186">
            <v>0</v>
          </cell>
          <cell r="AD186">
            <v>0</v>
          </cell>
          <cell r="AG186">
            <v>0</v>
          </cell>
          <cell r="AH186">
            <v>0</v>
          </cell>
          <cell r="AK186">
            <v>0</v>
          </cell>
          <cell r="AL186">
            <v>0</v>
          </cell>
        </row>
        <row r="187">
          <cell r="D187" t="str">
            <v>Martinez city</v>
          </cell>
          <cell r="Q187">
            <v>0</v>
          </cell>
          <cell r="R187">
            <v>0</v>
          </cell>
          <cell r="U187">
            <v>0</v>
          </cell>
          <cell r="V187">
            <v>0</v>
          </cell>
          <cell r="Y187">
            <v>0</v>
          </cell>
          <cell r="Z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K187">
            <v>0</v>
          </cell>
          <cell r="AL187">
            <v>0</v>
          </cell>
        </row>
        <row r="188">
          <cell r="D188" t="str">
            <v>Martinez city</v>
          </cell>
          <cell r="Q188">
            <v>0</v>
          </cell>
          <cell r="R188">
            <v>0</v>
          </cell>
          <cell r="U188">
            <v>0</v>
          </cell>
          <cell r="V188">
            <v>0</v>
          </cell>
          <cell r="Y188">
            <v>0</v>
          </cell>
          <cell r="Z188">
            <v>0</v>
          </cell>
          <cell r="AC188">
            <v>0</v>
          </cell>
          <cell r="AD188">
            <v>0</v>
          </cell>
          <cell r="AG188">
            <v>0</v>
          </cell>
          <cell r="AH188">
            <v>0</v>
          </cell>
          <cell r="AK188">
            <v>0</v>
          </cell>
          <cell r="AL188">
            <v>0</v>
          </cell>
        </row>
        <row r="189">
          <cell r="D189" t="str">
            <v>Martinez city</v>
          </cell>
          <cell r="Q189">
            <v>0</v>
          </cell>
          <cell r="R189">
            <v>0</v>
          </cell>
          <cell r="U189">
            <v>0</v>
          </cell>
          <cell r="V189">
            <v>0</v>
          </cell>
          <cell r="Y189">
            <v>0</v>
          </cell>
          <cell r="Z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K189">
            <v>0</v>
          </cell>
          <cell r="AL189">
            <v>0</v>
          </cell>
        </row>
        <row r="190">
          <cell r="D190" t="str">
            <v>Martinez city</v>
          </cell>
          <cell r="Q190">
            <v>0</v>
          </cell>
          <cell r="R190">
            <v>0</v>
          </cell>
          <cell r="U190">
            <v>0</v>
          </cell>
          <cell r="V190">
            <v>0</v>
          </cell>
          <cell r="Y190">
            <v>0</v>
          </cell>
          <cell r="Z190">
            <v>0</v>
          </cell>
          <cell r="AC190">
            <v>0</v>
          </cell>
          <cell r="AD190">
            <v>0</v>
          </cell>
          <cell r="AG190">
            <v>6.9280721646891594E-3</v>
          </cell>
          <cell r="AH190">
            <v>6.9280721646891594E-3</v>
          </cell>
          <cell r="AK190">
            <v>0.14212113121274492</v>
          </cell>
          <cell r="AL190">
            <v>0.14212113121274492</v>
          </cell>
        </row>
        <row r="191">
          <cell r="D191" t="str">
            <v>Martinez city</v>
          </cell>
          <cell r="Q191">
            <v>0</v>
          </cell>
          <cell r="R191">
            <v>2.1571432187120401</v>
          </cell>
          <cell r="U191">
            <v>0</v>
          </cell>
          <cell r="V191">
            <v>2.4412048173488219</v>
          </cell>
          <cell r="Y191">
            <v>0</v>
          </cell>
          <cell r="Z191">
            <v>2.6671601743588851</v>
          </cell>
          <cell r="AC191">
            <v>0</v>
          </cell>
          <cell r="AD191">
            <v>3.0776112288994408</v>
          </cell>
          <cell r="AG191">
            <v>0</v>
          </cell>
          <cell r="AH191">
            <v>4.305527565289724</v>
          </cell>
          <cell r="AK191">
            <v>0</v>
          </cell>
          <cell r="AL191">
            <v>4.6103625017821841</v>
          </cell>
        </row>
        <row r="192">
          <cell r="D192" t="str">
            <v>Martinez city</v>
          </cell>
          <cell r="Q192">
            <v>4.2019253194893453</v>
          </cell>
          <cell r="R192">
            <v>8.4038506389786907</v>
          </cell>
          <cell r="U192">
            <v>5.0969852728577081</v>
          </cell>
          <cell r="V192">
            <v>10.193970545715416</v>
          </cell>
          <cell r="Y192">
            <v>5.37158723665046</v>
          </cell>
          <cell r="Z192">
            <v>10.74317447330092</v>
          </cell>
          <cell r="AC192">
            <v>5.5782195813911377</v>
          </cell>
          <cell r="AD192">
            <v>11.156439162782275</v>
          </cell>
          <cell r="AG192">
            <v>5.9526921347238568</v>
          </cell>
          <cell r="AH192">
            <v>11.905384269447714</v>
          </cell>
          <cell r="AK192">
            <v>6.0973852662809538</v>
          </cell>
          <cell r="AL192">
            <v>12.194770532561908</v>
          </cell>
        </row>
        <row r="193">
          <cell r="D193" t="str">
            <v>Martinez city</v>
          </cell>
          <cell r="Q193">
            <v>0</v>
          </cell>
          <cell r="R193">
            <v>0</v>
          </cell>
          <cell r="U193">
            <v>0</v>
          </cell>
          <cell r="V193">
            <v>0</v>
          </cell>
          <cell r="Y193">
            <v>0</v>
          </cell>
          <cell r="Z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K193">
            <v>0.24711050527366454</v>
          </cell>
          <cell r="AL193">
            <v>0.38831650828718711</v>
          </cell>
        </row>
        <row r="194">
          <cell r="D194" t="str">
            <v>Martinez city</v>
          </cell>
          <cell r="Q194">
            <v>4.1126444011796126</v>
          </cell>
          <cell r="R194">
            <v>7.4027599221233036</v>
          </cell>
          <cell r="U194">
            <v>7.099711534425543</v>
          </cell>
          <cell r="V194">
            <v>12.779480761965976</v>
          </cell>
          <cell r="Y194">
            <v>8.5383272139184534</v>
          </cell>
          <cell r="Z194">
            <v>15.368988985053216</v>
          </cell>
          <cell r="AC194">
            <v>9.5314151069200737</v>
          </cell>
          <cell r="AD194">
            <v>17.156547192456131</v>
          </cell>
          <cell r="AG194">
            <v>9.7430017858798443</v>
          </cell>
          <cell r="AH194">
            <v>17.537403214583719</v>
          </cell>
          <cell r="AK194">
            <v>9.7754558625510164</v>
          </cell>
          <cell r="AL194">
            <v>17.595820552591832</v>
          </cell>
        </row>
        <row r="195">
          <cell r="D195" t="str">
            <v>Montalvin Manor CDP</v>
          </cell>
          <cell r="Q195">
            <v>0</v>
          </cell>
          <cell r="R195">
            <v>0</v>
          </cell>
          <cell r="U195">
            <v>0</v>
          </cell>
          <cell r="V195">
            <v>0</v>
          </cell>
          <cell r="Y195">
            <v>0</v>
          </cell>
          <cell r="Z195">
            <v>0</v>
          </cell>
          <cell r="AC195">
            <v>0</v>
          </cell>
          <cell r="AD195">
            <v>0</v>
          </cell>
          <cell r="AG195">
            <v>0</v>
          </cell>
          <cell r="AH195">
            <v>0</v>
          </cell>
          <cell r="AK195">
            <v>0</v>
          </cell>
          <cell r="AL195">
            <v>0</v>
          </cell>
        </row>
        <row r="196">
          <cell r="D196" t="str">
            <v>Montalvin Manor CDP</v>
          </cell>
          <cell r="Q196">
            <v>0</v>
          </cell>
          <cell r="R196">
            <v>0</v>
          </cell>
          <cell r="U196">
            <v>0</v>
          </cell>
          <cell r="V196">
            <v>0</v>
          </cell>
          <cell r="Y196">
            <v>0</v>
          </cell>
          <cell r="Z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K196">
            <v>0</v>
          </cell>
          <cell r="AL196">
            <v>0</v>
          </cell>
        </row>
        <row r="197">
          <cell r="D197" t="str">
            <v>Montalvin Manor CDP</v>
          </cell>
          <cell r="Q197">
            <v>0</v>
          </cell>
          <cell r="R197">
            <v>0</v>
          </cell>
          <cell r="U197">
            <v>0</v>
          </cell>
          <cell r="V197">
            <v>0</v>
          </cell>
          <cell r="Y197">
            <v>0</v>
          </cell>
          <cell r="Z197">
            <v>0</v>
          </cell>
          <cell r="AC197">
            <v>0</v>
          </cell>
          <cell r="AD197">
            <v>0</v>
          </cell>
          <cell r="AG197">
            <v>0</v>
          </cell>
          <cell r="AH197">
            <v>0</v>
          </cell>
          <cell r="AK197">
            <v>0</v>
          </cell>
          <cell r="AL197">
            <v>0</v>
          </cell>
        </row>
        <row r="198">
          <cell r="D198" t="str">
            <v>Montalvin Manor CDP</v>
          </cell>
          <cell r="Q198">
            <v>0</v>
          </cell>
          <cell r="R198">
            <v>0</v>
          </cell>
          <cell r="U198">
            <v>0</v>
          </cell>
          <cell r="V198">
            <v>0</v>
          </cell>
          <cell r="Y198">
            <v>0</v>
          </cell>
          <cell r="Z198">
            <v>0</v>
          </cell>
          <cell r="AC198">
            <v>0</v>
          </cell>
          <cell r="AD198">
            <v>0</v>
          </cell>
          <cell r="AG198">
            <v>0</v>
          </cell>
          <cell r="AH198">
            <v>0</v>
          </cell>
          <cell r="AK198">
            <v>0</v>
          </cell>
          <cell r="AL198">
            <v>0</v>
          </cell>
        </row>
        <row r="199">
          <cell r="D199" t="str">
            <v>Montalvin Manor CDP</v>
          </cell>
          <cell r="Q199">
            <v>0</v>
          </cell>
          <cell r="R199">
            <v>0</v>
          </cell>
          <cell r="U199">
            <v>0</v>
          </cell>
          <cell r="V199">
            <v>0</v>
          </cell>
          <cell r="Y199">
            <v>2.7468164875814396E-2</v>
          </cell>
          <cell r="Z199">
            <v>4.4505381064610668E-2</v>
          </cell>
          <cell r="AC199">
            <v>6.8350270905923036E-2</v>
          </cell>
          <cell r="AD199">
            <v>0.11074474273364746</v>
          </cell>
          <cell r="AG199">
            <v>0.16616721131013729</v>
          </cell>
          <cell r="AH199">
            <v>0.26923294997085534</v>
          </cell>
          <cell r="AK199">
            <v>0.27810098216875245</v>
          </cell>
          <cell r="AL199">
            <v>0.45059399642532039</v>
          </cell>
        </row>
        <row r="200">
          <cell r="D200" t="str">
            <v>North Richmond CDP</v>
          </cell>
          <cell r="Q200">
            <v>0</v>
          </cell>
          <cell r="R200">
            <v>0</v>
          </cell>
          <cell r="U200">
            <v>0</v>
          </cell>
          <cell r="V200">
            <v>0</v>
          </cell>
          <cell r="Y200">
            <v>0</v>
          </cell>
          <cell r="Z200">
            <v>0</v>
          </cell>
          <cell r="AC200">
            <v>0</v>
          </cell>
          <cell r="AD200">
            <v>0</v>
          </cell>
          <cell r="AG200">
            <v>0</v>
          </cell>
          <cell r="AH200">
            <v>0</v>
          </cell>
          <cell r="AK200">
            <v>0</v>
          </cell>
          <cell r="AL200">
            <v>0</v>
          </cell>
        </row>
        <row r="201">
          <cell r="D201" t="str">
            <v>North Richmond CDP</v>
          </cell>
          <cell r="Q201">
            <v>0</v>
          </cell>
          <cell r="R201">
            <v>0</v>
          </cell>
          <cell r="U201">
            <v>0</v>
          </cell>
          <cell r="V201">
            <v>0</v>
          </cell>
          <cell r="Y201">
            <v>0</v>
          </cell>
          <cell r="Z201">
            <v>0</v>
          </cell>
          <cell r="AC201">
            <v>0</v>
          </cell>
          <cell r="AD201">
            <v>0</v>
          </cell>
          <cell r="AG201">
            <v>0</v>
          </cell>
          <cell r="AH201">
            <v>0</v>
          </cell>
          <cell r="AK201">
            <v>0</v>
          </cell>
          <cell r="AL201">
            <v>0</v>
          </cell>
        </row>
        <row r="202">
          <cell r="D202" t="str">
            <v>North Richmond CDP</v>
          </cell>
          <cell r="Q202">
            <v>0</v>
          </cell>
          <cell r="R202">
            <v>0</v>
          </cell>
          <cell r="U202">
            <v>0</v>
          </cell>
          <cell r="V202">
            <v>0</v>
          </cell>
          <cell r="Y202">
            <v>0</v>
          </cell>
          <cell r="Z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K202">
            <v>0</v>
          </cell>
          <cell r="AL202">
            <v>0</v>
          </cell>
        </row>
        <row r="203">
          <cell r="D203" t="str">
            <v>North Richmond CDP</v>
          </cell>
          <cell r="Q203">
            <v>0</v>
          </cell>
          <cell r="R203">
            <v>0</v>
          </cell>
          <cell r="U203">
            <v>0</v>
          </cell>
          <cell r="V203">
            <v>0</v>
          </cell>
          <cell r="Y203">
            <v>0</v>
          </cell>
          <cell r="Z203">
            <v>0</v>
          </cell>
          <cell r="AC203">
            <v>0</v>
          </cell>
          <cell r="AD203">
            <v>0</v>
          </cell>
          <cell r="AG203">
            <v>0</v>
          </cell>
          <cell r="AH203">
            <v>0</v>
          </cell>
          <cell r="AK203">
            <v>0</v>
          </cell>
          <cell r="AL203">
            <v>0</v>
          </cell>
        </row>
        <row r="204">
          <cell r="D204" t="str">
            <v>North Richmond CDP</v>
          </cell>
          <cell r="Q204">
            <v>0</v>
          </cell>
          <cell r="R204">
            <v>0</v>
          </cell>
          <cell r="U204">
            <v>0</v>
          </cell>
          <cell r="V204">
            <v>0</v>
          </cell>
          <cell r="Y204">
            <v>0</v>
          </cell>
          <cell r="Z204">
            <v>0</v>
          </cell>
          <cell r="AC204">
            <v>0</v>
          </cell>
          <cell r="AD204">
            <v>0</v>
          </cell>
          <cell r="AG204">
            <v>0</v>
          </cell>
          <cell r="AH204">
            <v>0</v>
          </cell>
          <cell r="AK204">
            <v>0</v>
          </cell>
          <cell r="AL204">
            <v>0</v>
          </cell>
        </row>
        <row r="205">
          <cell r="D205" t="str">
            <v>North Richmond CDP</v>
          </cell>
          <cell r="Q205">
            <v>0</v>
          </cell>
          <cell r="R205">
            <v>0</v>
          </cell>
          <cell r="U205">
            <v>0</v>
          </cell>
          <cell r="V205">
            <v>0</v>
          </cell>
          <cell r="Y205">
            <v>0</v>
          </cell>
          <cell r="Z205">
            <v>0</v>
          </cell>
          <cell r="AC205">
            <v>0</v>
          </cell>
          <cell r="AD205">
            <v>0</v>
          </cell>
          <cell r="AG205">
            <v>0</v>
          </cell>
          <cell r="AH205">
            <v>0</v>
          </cell>
          <cell r="AK205">
            <v>0</v>
          </cell>
          <cell r="AL205">
            <v>0</v>
          </cell>
        </row>
        <row r="206">
          <cell r="D206" t="str">
            <v>North Richmond CDP</v>
          </cell>
          <cell r="Q206">
            <v>0</v>
          </cell>
          <cell r="R206">
            <v>0</v>
          </cell>
          <cell r="U206">
            <v>0</v>
          </cell>
          <cell r="V206">
            <v>0</v>
          </cell>
          <cell r="Y206">
            <v>0</v>
          </cell>
          <cell r="Z206">
            <v>0</v>
          </cell>
          <cell r="AC206">
            <v>0</v>
          </cell>
          <cell r="AD206">
            <v>0</v>
          </cell>
          <cell r="AG206">
            <v>0</v>
          </cell>
          <cell r="AH206">
            <v>0</v>
          </cell>
          <cell r="AK206">
            <v>0</v>
          </cell>
          <cell r="AL206">
            <v>0</v>
          </cell>
        </row>
        <row r="207">
          <cell r="D207" t="str">
            <v>North Richmond CDP</v>
          </cell>
          <cell r="Q207">
            <v>0</v>
          </cell>
          <cell r="R207">
            <v>0</v>
          </cell>
          <cell r="U207">
            <v>0</v>
          </cell>
          <cell r="V207">
            <v>0</v>
          </cell>
          <cell r="Y207">
            <v>0</v>
          </cell>
          <cell r="Z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K207">
            <v>0</v>
          </cell>
          <cell r="AL207">
            <v>0</v>
          </cell>
        </row>
        <row r="208">
          <cell r="D208" t="str">
            <v>North Richmond CDP</v>
          </cell>
          <cell r="Q208">
            <v>0</v>
          </cell>
          <cell r="R208">
            <v>0</v>
          </cell>
          <cell r="U208">
            <v>0</v>
          </cell>
          <cell r="V208">
            <v>0</v>
          </cell>
          <cell r="Y208">
            <v>0</v>
          </cell>
          <cell r="Z208">
            <v>0</v>
          </cell>
          <cell r="AC208">
            <v>0</v>
          </cell>
          <cell r="AD208">
            <v>0</v>
          </cell>
          <cell r="AG208">
            <v>0</v>
          </cell>
          <cell r="AH208">
            <v>0</v>
          </cell>
          <cell r="AK208">
            <v>0</v>
          </cell>
          <cell r="AL208">
            <v>0</v>
          </cell>
        </row>
        <row r="209">
          <cell r="D209" t="str">
            <v>North Richmond CDP</v>
          </cell>
          <cell r="Q209">
            <v>0</v>
          </cell>
          <cell r="R209">
            <v>0</v>
          </cell>
          <cell r="U209">
            <v>0</v>
          </cell>
          <cell r="V209">
            <v>0</v>
          </cell>
          <cell r="Y209">
            <v>0</v>
          </cell>
          <cell r="Z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K209">
            <v>0</v>
          </cell>
          <cell r="AL209">
            <v>0</v>
          </cell>
        </row>
        <row r="210">
          <cell r="D210" t="str">
            <v>North Richmond CDP</v>
          </cell>
          <cell r="Q210">
            <v>0</v>
          </cell>
          <cell r="R210">
            <v>0</v>
          </cell>
          <cell r="U210">
            <v>0</v>
          </cell>
          <cell r="V210">
            <v>0</v>
          </cell>
          <cell r="Y210">
            <v>0</v>
          </cell>
          <cell r="Z210">
            <v>0</v>
          </cell>
          <cell r="AC210">
            <v>0</v>
          </cell>
          <cell r="AD210">
            <v>0</v>
          </cell>
          <cell r="AG210">
            <v>0</v>
          </cell>
          <cell r="AH210">
            <v>0</v>
          </cell>
          <cell r="AK210">
            <v>0</v>
          </cell>
          <cell r="AL210">
            <v>0</v>
          </cell>
        </row>
        <row r="211">
          <cell r="D211" t="str">
            <v>North Richmond CDP</v>
          </cell>
          <cell r="Q211">
            <v>0</v>
          </cell>
          <cell r="R211">
            <v>0</v>
          </cell>
          <cell r="U211">
            <v>0</v>
          </cell>
          <cell r="V211">
            <v>0</v>
          </cell>
          <cell r="Y211">
            <v>0</v>
          </cell>
          <cell r="Z211">
            <v>0</v>
          </cell>
          <cell r="AC211">
            <v>0</v>
          </cell>
          <cell r="AD211">
            <v>0</v>
          </cell>
          <cell r="AG211">
            <v>0</v>
          </cell>
          <cell r="AH211">
            <v>0</v>
          </cell>
          <cell r="AK211">
            <v>0</v>
          </cell>
          <cell r="AL211">
            <v>0</v>
          </cell>
        </row>
        <row r="212">
          <cell r="D212" t="str">
            <v>North Richmond CDP</v>
          </cell>
          <cell r="Q212">
            <v>0</v>
          </cell>
          <cell r="R212">
            <v>0</v>
          </cell>
          <cell r="U212">
            <v>0</v>
          </cell>
          <cell r="V212">
            <v>0</v>
          </cell>
          <cell r="Y212">
            <v>0</v>
          </cell>
          <cell r="Z212">
            <v>0</v>
          </cell>
          <cell r="AC212">
            <v>0</v>
          </cell>
          <cell r="AD212">
            <v>0</v>
          </cell>
          <cell r="AG212">
            <v>0</v>
          </cell>
          <cell r="AH212">
            <v>0</v>
          </cell>
          <cell r="AK212">
            <v>0</v>
          </cell>
          <cell r="AL212">
            <v>0</v>
          </cell>
        </row>
        <row r="213">
          <cell r="D213" t="str">
            <v>North Richmond CDP</v>
          </cell>
          <cell r="Q213">
            <v>0</v>
          </cell>
          <cell r="R213">
            <v>0</v>
          </cell>
          <cell r="U213">
            <v>0</v>
          </cell>
          <cell r="V213">
            <v>0</v>
          </cell>
          <cell r="Y213">
            <v>0</v>
          </cell>
          <cell r="Z213">
            <v>0</v>
          </cell>
          <cell r="AC213">
            <v>0</v>
          </cell>
          <cell r="AD213">
            <v>0</v>
          </cell>
          <cell r="AG213">
            <v>0</v>
          </cell>
          <cell r="AH213">
            <v>0</v>
          </cell>
          <cell r="AK213">
            <v>0</v>
          </cell>
          <cell r="AL213">
            <v>0</v>
          </cell>
        </row>
        <row r="214">
          <cell r="D214" t="str">
            <v>North Richmond CDP</v>
          </cell>
          <cell r="Q214">
            <v>0</v>
          </cell>
          <cell r="R214">
            <v>0</v>
          </cell>
          <cell r="U214">
            <v>0</v>
          </cell>
          <cell r="V214">
            <v>0</v>
          </cell>
          <cell r="Y214">
            <v>0</v>
          </cell>
          <cell r="Z214">
            <v>0</v>
          </cell>
          <cell r="AC214">
            <v>0</v>
          </cell>
          <cell r="AD214">
            <v>0</v>
          </cell>
          <cell r="AG214">
            <v>0</v>
          </cell>
          <cell r="AH214">
            <v>0</v>
          </cell>
          <cell r="AK214">
            <v>0</v>
          </cell>
          <cell r="AL214">
            <v>0</v>
          </cell>
        </row>
        <row r="215">
          <cell r="D215" t="str">
            <v>North Richmond CDP</v>
          </cell>
          <cell r="Q215">
            <v>0</v>
          </cell>
          <cell r="R215">
            <v>0</v>
          </cell>
          <cell r="U215">
            <v>0</v>
          </cell>
          <cell r="V215">
            <v>0</v>
          </cell>
          <cell r="Y215">
            <v>0</v>
          </cell>
          <cell r="Z215">
            <v>0</v>
          </cell>
          <cell r="AC215">
            <v>0</v>
          </cell>
          <cell r="AD215">
            <v>0</v>
          </cell>
          <cell r="AG215">
            <v>0</v>
          </cell>
          <cell r="AH215">
            <v>0</v>
          </cell>
          <cell r="AK215">
            <v>0</v>
          </cell>
          <cell r="AL215">
            <v>0</v>
          </cell>
        </row>
        <row r="216">
          <cell r="D216" t="str">
            <v>North Richmond CDP</v>
          </cell>
          <cell r="Q216">
            <v>0</v>
          </cell>
          <cell r="R216">
            <v>0</v>
          </cell>
          <cell r="U216">
            <v>0</v>
          </cell>
          <cell r="V216">
            <v>0</v>
          </cell>
          <cell r="Y216">
            <v>0</v>
          </cell>
          <cell r="Z216">
            <v>0</v>
          </cell>
          <cell r="AC216">
            <v>0</v>
          </cell>
          <cell r="AD216">
            <v>0</v>
          </cell>
          <cell r="AG216">
            <v>0</v>
          </cell>
          <cell r="AH216">
            <v>0</v>
          </cell>
          <cell r="AK216">
            <v>0</v>
          </cell>
          <cell r="AL216">
            <v>0</v>
          </cell>
        </row>
        <row r="217">
          <cell r="D217" t="str">
            <v>North Richmond CDP</v>
          </cell>
          <cell r="Q217">
            <v>0</v>
          </cell>
          <cell r="R217">
            <v>0</v>
          </cell>
          <cell r="U217">
            <v>0</v>
          </cell>
          <cell r="V217">
            <v>0</v>
          </cell>
          <cell r="Y217">
            <v>0</v>
          </cell>
          <cell r="Z217">
            <v>0</v>
          </cell>
          <cell r="AC217">
            <v>0</v>
          </cell>
          <cell r="AD217">
            <v>0</v>
          </cell>
          <cell r="AG217">
            <v>0</v>
          </cell>
          <cell r="AH217">
            <v>0</v>
          </cell>
          <cell r="AK217">
            <v>0</v>
          </cell>
          <cell r="AL217">
            <v>0</v>
          </cell>
        </row>
        <row r="218">
          <cell r="D218" t="str">
            <v>North Richmond CDP</v>
          </cell>
          <cell r="Q218">
            <v>0</v>
          </cell>
          <cell r="R218">
            <v>0</v>
          </cell>
          <cell r="U218">
            <v>0</v>
          </cell>
          <cell r="V218">
            <v>0</v>
          </cell>
          <cell r="Y218">
            <v>0</v>
          </cell>
          <cell r="Z218">
            <v>0</v>
          </cell>
          <cell r="AC218">
            <v>0</v>
          </cell>
          <cell r="AD218">
            <v>0</v>
          </cell>
          <cell r="AG218">
            <v>0</v>
          </cell>
          <cell r="AH218">
            <v>0</v>
          </cell>
          <cell r="AK218">
            <v>0</v>
          </cell>
          <cell r="AL218">
            <v>0</v>
          </cell>
        </row>
        <row r="219">
          <cell r="D219" t="str">
            <v>North Richmond CDP</v>
          </cell>
          <cell r="Q219">
            <v>0</v>
          </cell>
          <cell r="R219">
            <v>0</v>
          </cell>
          <cell r="U219">
            <v>0</v>
          </cell>
          <cell r="V219">
            <v>0</v>
          </cell>
          <cell r="Y219">
            <v>0</v>
          </cell>
          <cell r="Z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K219">
            <v>0</v>
          </cell>
          <cell r="AL219">
            <v>0</v>
          </cell>
        </row>
        <row r="220">
          <cell r="D220" t="str">
            <v>North Richmond CDP</v>
          </cell>
          <cell r="Q220">
            <v>0</v>
          </cell>
          <cell r="R220">
            <v>0</v>
          </cell>
          <cell r="U220">
            <v>0</v>
          </cell>
          <cell r="V220">
            <v>0</v>
          </cell>
          <cell r="Y220">
            <v>0</v>
          </cell>
          <cell r="Z220">
            <v>0</v>
          </cell>
          <cell r="AC220">
            <v>0</v>
          </cell>
          <cell r="AD220">
            <v>0</v>
          </cell>
          <cell r="AG220">
            <v>0</v>
          </cell>
          <cell r="AH220">
            <v>0</v>
          </cell>
          <cell r="AK220">
            <v>0</v>
          </cell>
          <cell r="AL220">
            <v>0</v>
          </cell>
        </row>
        <row r="221">
          <cell r="D221" t="str">
            <v>North Richmond CDP</v>
          </cell>
          <cell r="Q221">
            <v>0</v>
          </cell>
          <cell r="R221">
            <v>0</v>
          </cell>
          <cell r="U221">
            <v>1.8918253384928533E-2</v>
          </cell>
          <cell r="V221">
            <v>1.8918253384928533E-2</v>
          </cell>
          <cell r="Y221">
            <v>2.4463045648217385E-2</v>
          </cell>
          <cell r="Z221">
            <v>2.4463045648217385E-2</v>
          </cell>
          <cell r="AC221">
            <v>3.4630913234732996E-2</v>
          </cell>
          <cell r="AD221">
            <v>3.4630913234732996E-2</v>
          </cell>
          <cell r="AG221">
            <v>5.2578691440281003E-2</v>
          </cell>
          <cell r="AH221">
            <v>5.2578691440281003E-2</v>
          </cell>
          <cell r="AK221">
            <v>8.6631048269530983E-2</v>
          </cell>
          <cell r="AL221">
            <v>8.6631048269530983E-2</v>
          </cell>
        </row>
        <row r="222">
          <cell r="D222" t="str">
            <v>North Richmond CDP</v>
          </cell>
          <cell r="Q222">
            <v>0</v>
          </cell>
          <cell r="R222">
            <v>0</v>
          </cell>
          <cell r="U222">
            <v>9.6676885554666386E-3</v>
          </cell>
          <cell r="V222">
            <v>1.6112814259111062E-2</v>
          </cell>
          <cell r="Y222">
            <v>3.4404215408357156E-2</v>
          </cell>
          <cell r="Z222">
            <v>5.7340359013928602E-2</v>
          </cell>
          <cell r="AC222">
            <v>9.549688417927199E-2</v>
          </cell>
          <cell r="AD222">
            <v>0.15916147363211997</v>
          </cell>
          <cell r="AG222">
            <v>0.11034872284703649</v>
          </cell>
          <cell r="AH222">
            <v>0.18391453807839414</v>
          </cell>
          <cell r="AK222">
            <v>0.11854198229108119</v>
          </cell>
          <cell r="AL222">
            <v>0.1975699704851353</v>
          </cell>
        </row>
        <row r="223">
          <cell r="D223" t="str">
            <v>North Richmond CDP</v>
          </cell>
          <cell r="Q223">
            <v>0</v>
          </cell>
          <cell r="R223">
            <v>0</v>
          </cell>
          <cell r="U223">
            <v>2.6292239509784435E-2</v>
          </cell>
          <cell r="V223">
            <v>6.1348558856163686E-2</v>
          </cell>
          <cell r="Y223">
            <v>5.3232366279075169E-2</v>
          </cell>
          <cell r="Z223">
            <v>0.12420885465117538</v>
          </cell>
          <cell r="AC223">
            <v>0.10529794949769861</v>
          </cell>
          <cell r="AD223">
            <v>0.24569521549463008</v>
          </cell>
          <cell r="AG223">
            <v>0.24761846505528429</v>
          </cell>
          <cell r="AH223">
            <v>0.57777641846233008</v>
          </cell>
          <cell r="AK223">
            <v>0.32262505526797591</v>
          </cell>
          <cell r="AL223">
            <v>0.75279179562527709</v>
          </cell>
        </row>
        <row r="224">
          <cell r="D224" t="str">
            <v>North Richmond CDP</v>
          </cell>
          <cell r="Q224">
            <v>0</v>
          </cell>
          <cell r="R224">
            <v>0</v>
          </cell>
          <cell r="U224">
            <v>0.14874517608051019</v>
          </cell>
          <cell r="V224">
            <v>0.43660454561761269</v>
          </cell>
          <cell r="Y224">
            <v>0.36791204211217071</v>
          </cell>
          <cell r="Z224">
            <v>1.0799144833220549</v>
          </cell>
          <cell r="AC224">
            <v>0.73183973913042533</v>
          </cell>
          <cell r="AD224">
            <v>2.1481339105411048</v>
          </cell>
          <cell r="AG224">
            <v>1.1654551196204486</v>
          </cell>
          <cell r="AH224">
            <v>3.4209042360082234</v>
          </cell>
          <cell r="AK224">
            <v>1.669946040250978</v>
          </cell>
          <cell r="AL224">
            <v>4.9017121181467553</v>
          </cell>
        </row>
        <row r="225">
          <cell r="D225" t="str">
            <v>Pacheco CDP</v>
          </cell>
          <cell r="Q225">
            <v>0</v>
          </cell>
          <cell r="R225">
            <v>0</v>
          </cell>
          <cell r="U225">
            <v>0</v>
          </cell>
          <cell r="V225">
            <v>0</v>
          </cell>
          <cell r="Y225">
            <v>0</v>
          </cell>
          <cell r="Z225">
            <v>0</v>
          </cell>
          <cell r="AC225">
            <v>0</v>
          </cell>
          <cell r="AD225">
            <v>0</v>
          </cell>
          <cell r="AG225">
            <v>0</v>
          </cell>
          <cell r="AH225">
            <v>0</v>
          </cell>
          <cell r="AK225">
            <v>0</v>
          </cell>
          <cell r="AL225">
            <v>0</v>
          </cell>
        </row>
        <row r="226">
          <cell r="D226" t="str">
            <v>Pacheco CDP</v>
          </cell>
          <cell r="Q226">
            <v>0</v>
          </cell>
          <cell r="R226">
            <v>0</v>
          </cell>
          <cell r="U226">
            <v>0</v>
          </cell>
          <cell r="V226">
            <v>0</v>
          </cell>
          <cell r="Y226">
            <v>0</v>
          </cell>
          <cell r="Z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K226">
            <v>0</v>
          </cell>
          <cell r="AL226">
            <v>0</v>
          </cell>
        </row>
        <row r="227">
          <cell r="D227" t="str">
            <v>Pacheco CDP</v>
          </cell>
          <cell r="Q227">
            <v>0</v>
          </cell>
          <cell r="R227">
            <v>0</v>
          </cell>
          <cell r="U227">
            <v>0</v>
          </cell>
          <cell r="V227">
            <v>0</v>
          </cell>
          <cell r="Y227">
            <v>0</v>
          </cell>
          <cell r="Z227">
            <v>0</v>
          </cell>
          <cell r="AC227">
            <v>0</v>
          </cell>
          <cell r="AD227">
            <v>0</v>
          </cell>
          <cell r="AG227">
            <v>0</v>
          </cell>
          <cell r="AH227">
            <v>0</v>
          </cell>
          <cell r="AK227">
            <v>0</v>
          </cell>
          <cell r="AL227">
            <v>0</v>
          </cell>
        </row>
        <row r="228">
          <cell r="D228" t="str">
            <v>Pinole city</v>
          </cell>
          <cell r="Q228">
            <v>0</v>
          </cell>
          <cell r="R228">
            <v>0</v>
          </cell>
          <cell r="U228">
            <v>0</v>
          </cell>
          <cell r="V228">
            <v>0</v>
          </cell>
          <cell r="Y228">
            <v>0</v>
          </cell>
          <cell r="Z228">
            <v>0</v>
          </cell>
          <cell r="AC228">
            <v>0</v>
          </cell>
          <cell r="AD228">
            <v>0</v>
          </cell>
          <cell r="AG228">
            <v>0</v>
          </cell>
          <cell r="AH228">
            <v>0</v>
          </cell>
          <cell r="AK228">
            <v>0</v>
          </cell>
          <cell r="AL228">
            <v>0</v>
          </cell>
        </row>
        <row r="229">
          <cell r="D229" t="str">
            <v>Pinole city</v>
          </cell>
          <cell r="Q229">
            <v>0</v>
          </cell>
          <cell r="R229">
            <v>0</v>
          </cell>
          <cell r="U229">
            <v>0</v>
          </cell>
          <cell r="V229">
            <v>0</v>
          </cell>
          <cell r="Y229">
            <v>0</v>
          </cell>
          <cell r="Z229">
            <v>0</v>
          </cell>
          <cell r="AC229">
            <v>0</v>
          </cell>
          <cell r="AD229">
            <v>0</v>
          </cell>
          <cell r="AG229">
            <v>0</v>
          </cell>
          <cell r="AH229">
            <v>0</v>
          </cell>
          <cell r="AK229">
            <v>0</v>
          </cell>
          <cell r="AL229">
            <v>0</v>
          </cell>
        </row>
        <row r="230">
          <cell r="D230" t="str">
            <v>Pinole city</v>
          </cell>
          <cell r="Q230">
            <v>0</v>
          </cell>
          <cell r="R230">
            <v>0</v>
          </cell>
          <cell r="U230">
            <v>0</v>
          </cell>
          <cell r="V230">
            <v>0</v>
          </cell>
          <cell r="Y230">
            <v>0</v>
          </cell>
          <cell r="Z230">
            <v>0</v>
          </cell>
          <cell r="AC230">
            <v>0</v>
          </cell>
          <cell r="AD230">
            <v>0</v>
          </cell>
          <cell r="AG230">
            <v>0</v>
          </cell>
          <cell r="AH230">
            <v>0</v>
          </cell>
          <cell r="AK230">
            <v>0</v>
          </cell>
          <cell r="AL230">
            <v>0</v>
          </cell>
        </row>
        <row r="231">
          <cell r="D231" t="str">
            <v>Pinole city</v>
          </cell>
          <cell r="Q231">
            <v>0</v>
          </cell>
          <cell r="R231">
            <v>0</v>
          </cell>
          <cell r="U231">
            <v>0</v>
          </cell>
          <cell r="V231">
            <v>0</v>
          </cell>
          <cell r="Y231">
            <v>0</v>
          </cell>
          <cell r="Z231">
            <v>0</v>
          </cell>
          <cell r="AC231">
            <v>0</v>
          </cell>
          <cell r="AD231">
            <v>0</v>
          </cell>
          <cell r="AG231">
            <v>0</v>
          </cell>
          <cell r="AH231">
            <v>0</v>
          </cell>
          <cell r="AK231">
            <v>0</v>
          </cell>
          <cell r="AL231">
            <v>0</v>
          </cell>
        </row>
        <row r="232">
          <cell r="D232" t="str">
            <v>Pinole city</v>
          </cell>
          <cell r="Q232">
            <v>0</v>
          </cell>
          <cell r="R232">
            <v>0</v>
          </cell>
          <cell r="U232">
            <v>0</v>
          </cell>
          <cell r="V232">
            <v>0</v>
          </cell>
          <cell r="Y232">
            <v>5.0168144731153747E-3</v>
          </cell>
          <cell r="Z232">
            <v>5.0168144731153747E-3</v>
          </cell>
          <cell r="AC232">
            <v>6.6896935768707741E-2</v>
          </cell>
          <cell r="AD232">
            <v>6.6896935768707741E-2</v>
          </cell>
          <cell r="AG232">
            <v>0.16250527383488528</v>
          </cell>
          <cell r="AH232">
            <v>0.16250527383488528</v>
          </cell>
          <cell r="AK232">
            <v>0.21128922164185412</v>
          </cell>
          <cell r="AL232">
            <v>0.21128922164185412</v>
          </cell>
        </row>
        <row r="233">
          <cell r="D233" t="str">
            <v>Pinole city</v>
          </cell>
          <cell r="Q233">
            <v>0.41875886780385146</v>
          </cell>
          <cell r="R233">
            <v>1.1366312126104539</v>
          </cell>
          <cell r="U233">
            <v>0.52899886755850878</v>
          </cell>
          <cell r="V233">
            <v>1.4358540690873809</v>
          </cell>
          <cell r="Y233">
            <v>0.65288085875273316</v>
          </cell>
          <cell r="Z233">
            <v>1.7721051880431329</v>
          </cell>
          <cell r="AC233">
            <v>0.80776581076075926</v>
          </cell>
          <cell r="AD233">
            <v>2.1925072006363466</v>
          </cell>
          <cell r="AG233">
            <v>0.85027593245943511</v>
          </cell>
          <cell r="AH233">
            <v>2.3078918166756095</v>
          </cell>
          <cell r="AK233">
            <v>0.85027593245943511</v>
          </cell>
          <cell r="AL233">
            <v>2.3078918166756095</v>
          </cell>
        </row>
        <row r="234">
          <cell r="D234" t="str">
            <v>Pinole city</v>
          </cell>
          <cell r="Q234">
            <v>0</v>
          </cell>
          <cell r="R234">
            <v>0</v>
          </cell>
          <cell r="U234">
            <v>0</v>
          </cell>
          <cell r="V234">
            <v>0</v>
          </cell>
          <cell r="Y234">
            <v>0</v>
          </cell>
          <cell r="Z234">
            <v>0</v>
          </cell>
          <cell r="AC234">
            <v>1.1313119932335627E-4</v>
          </cell>
          <cell r="AD234">
            <v>3.0796826482469206E-4</v>
          </cell>
          <cell r="AG234">
            <v>3.6189902661770859E-3</v>
          </cell>
          <cell r="AH234">
            <v>9.8516957245931777E-3</v>
          </cell>
          <cell r="AK234">
            <v>1.5026078460659597E-2</v>
          </cell>
          <cell r="AL234">
            <v>4.0904324698462238E-2</v>
          </cell>
        </row>
        <row r="235">
          <cell r="D235" t="str">
            <v>Pinole city</v>
          </cell>
          <cell r="Q235">
            <v>0.13180503704221674</v>
          </cell>
          <cell r="R235">
            <v>0.31400611765939873</v>
          </cell>
          <cell r="U235">
            <v>0.13979425411568355</v>
          </cell>
          <cell r="V235">
            <v>0.33303925245206967</v>
          </cell>
          <cell r="Y235">
            <v>0.14160237788700136</v>
          </cell>
          <cell r="Z235">
            <v>0.3373468414366797</v>
          </cell>
          <cell r="AC235">
            <v>0.14160237788700136</v>
          </cell>
          <cell r="AD235">
            <v>0.3373468414366797</v>
          </cell>
          <cell r="AG235">
            <v>0.14160237788700136</v>
          </cell>
          <cell r="AH235">
            <v>0.3373468414366797</v>
          </cell>
          <cell r="AK235">
            <v>0.14160237788700136</v>
          </cell>
          <cell r="AL235">
            <v>0.3373468414366797</v>
          </cell>
        </row>
        <row r="236">
          <cell r="D236" t="str">
            <v>Pinole city</v>
          </cell>
          <cell r="Q236">
            <v>0.26754319473828503</v>
          </cell>
          <cell r="R236">
            <v>0.76547080716787108</v>
          </cell>
          <cell r="U236">
            <v>0.38647770789171232</v>
          </cell>
          <cell r="V236">
            <v>1.1057556642457325</v>
          </cell>
          <cell r="Y236">
            <v>0.40491305075195133</v>
          </cell>
          <cell r="Z236">
            <v>1.1585012285403051</v>
          </cell>
          <cell r="AC236">
            <v>0.43148177754661721</v>
          </cell>
          <cell r="AD236">
            <v>1.2345173079805991</v>
          </cell>
          <cell r="AG236">
            <v>0.44474456484950248</v>
          </cell>
          <cell r="AH236">
            <v>1.2724636160971876</v>
          </cell>
          <cell r="AK236">
            <v>0.4958237790014699</v>
          </cell>
          <cell r="AL236">
            <v>1.4186069232542056</v>
          </cell>
        </row>
        <row r="237">
          <cell r="D237" t="str">
            <v>Pinole city</v>
          </cell>
          <cell r="Q237">
            <v>0.21940605685545328</v>
          </cell>
          <cell r="R237">
            <v>0.60575150479657758</v>
          </cell>
          <cell r="U237">
            <v>0.28087136806355328</v>
          </cell>
          <cell r="V237">
            <v>0.77544921182763615</v>
          </cell>
          <cell r="Y237">
            <v>0.32123398415055132</v>
          </cell>
          <cell r="Z237">
            <v>0.88688513015478299</v>
          </cell>
          <cell r="AC237">
            <v>0.37202619408845733</v>
          </cell>
          <cell r="AD237">
            <v>1.02711579672248</v>
          </cell>
          <cell r="AG237">
            <v>0.46308486808706234</v>
          </cell>
          <cell r="AH237">
            <v>1.2785169184142808</v>
          </cell>
          <cell r="AK237">
            <v>0.47016109901027925</v>
          </cell>
          <cell r="AL237">
            <v>1.2980534690066405</v>
          </cell>
        </row>
        <row r="238">
          <cell r="D238" t="str">
            <v>Pinole city</v>
          </cell>
          <cell r="Q238">
            <v>1.8704875694583505E-2</v>
          </cell>
          <cell r="R238">
            <v>5.4522722769317876E-2</v>
          </cell>
          <cell r="U238">
            <v>1.8704875694583505E-2</v>
          </cell>
          <cell r="V238">
            <v>5.4522722769317876E-2</v>
          </cell>
          <cell r="Y238">
            <v>1.8704875694583505E-2</v>
          </cell>
          <cell r="Z238">
            <v>5.4522722769317876E-2</v>
          </cell>
          <cell r="AC238">
            <v>1.8704875694583505E-2</v>
          </cell>
          <cell r="AD238">
            <v>5.4522722769317876E-2</v>
          </cell>
          <cell r="AG238">
            <v>6.6064159245279711E-2</v>
          </cell>
          <cell r="AH238">
            <v>0.19256999609794301</v>
          </cell>
          <cell r="AK238">
            <v>8.745812321143763E-2</v>
          </cell>
          <cell r="AL238">
            <v>0.25493112510567989</v>
          </cell>
        </row>
        <row r="239">
          <cell r="D239" t="str">
            <v>Pinole city</v>
          </cell>
          <cell r="Q239">
            <v>0</v>
          </cell>
          <cell r="R239">
            <v>0</v>
          </cell>
          <cell r="U239">
            <v>4.9636905346144402E-4</v>
          </cell>
          <cell r="V239">
            <v>1.3272476864295132E-3</v>
          </cell>
          <cell r="Y239">
            <v>4.1561069476828581E-3</v>
          </cell>
          <cell r="Z239">
            <v>1.1113068577499817E-2</v>
          </cell>
          <cell r="AC239">
            <v>2.2440881672130899E-2</v>
          </cell>
          <cell r="AD239">
            <v>6.000496621026305E-2</v>
          </cell>
          <cell r="AG239">
            <v>0.1174261774761521</v>
          </cell>
          <cell r="AH239">
            <v>0.31398738759927625</v>
          </cell>
          <cell r="AK239">
            <v>0.33290250567893009</v>
          </cell>
          <cell r="AL239">
            <v>0.89015235214148702</v>
          </cell>
        </row>
        <row r="240">
          <cell r="D240" t="str">
            <v>Pittsburg city</v>
          </cell>
          <cell r="Q240">
            <v>0</v>
          </cell>
          <cell r="R240">
            <v>0</v>
          </cell>
          <cell r="U240">
            <v>0</v>
          </cell>
          <cell r="V240">
            <v>0</v>
          </cell>
          <cell r="Y240">
            <v>0</v>
          </cell>
          <cell r="Z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K240">
            <v>0</v>
          </cell>
          <cell r="AL240">
            <v>0</v>
          </cell>
        </row>
        <row r="241">
          <cell r="D241" t="str">
            <v>Port Costa CDP</v>
          </cell>
          <cell r="Q241">
            <v>0</v>
          </cell>
          <cell r="R241">
            <v>0</v>
          </cell>
          <cell r="U241">
            <v>0</v>
          </cell>
          <cell r="V241">
            <v>0</v>
          </cell>
          <cell r="Y241">
            <v>0</v>
          </cell>
          <cell r="Z241">
            <v>0</v>
          </cell>
          <cell r="AC241">
            <v>0</v>
          </cell>
          <cell r="AD241">
            <v>0</v>
          </cell>
          <cell r="AG241">
            <v>0</v>
          </cell>
          <cell r="AH241">
            <v>0</v>
          </cell>
          <cell r="AK241">
            <v>0</v>
          </cell>
          <cell r="AL241">
            <v>0</v>
          </cell>
        </row>
        <row r="242">
          <cell r="D242" t="str">
            <v>Richmond city</v>
          </cell>
          <cell r="Q242">
            <v>0</v>
          </cell>
          <cell r="R242">
            <v>0</v>
          </cell>
          <cell r="U242">
            <v>0</v>
          </cell>
          <cell r="V242">
            <v>0</v>
          </cell>
          <cell r="Y242">
            <v>0</v>
          </cell>
          <cell r="Z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K242">
            <v>0</v>
          </cell>
          <cell r="AL242">
            <v>0</v>
          </cell>
        </row>
        <row r="243">
          <cell r="D243" t="str">
            <v>Richmond city</v>
          </cell>
          <cell r="Q243">
            <v>0</v>
          </cell>
          <cell r="R243">
            <v>0</v>
          </cell>
          <cell r="U243">
            <v>0</v>
          </cell>
          <cell r="V243">
            <v>0</v>
          </cell>
          <cell r="Y243">
            <v>0</v>
          </cell>
          <cell r="Z243">
            <v>0</v>
          </cell>
          <cell r="AC243">
            <v>0</v>
          </cell>
          <cell r="AD243">
            <v>0</v>
          </cell>
          <cell r="AG243">
            <v>0</v>
          </cell>
          <cell r="AH243">
            <v>0</v>
          </cell>
          <cell r="AK243">
            <v>0</v>
          </cell>
          <cell r="AL243">
            <v>0</v>
          </cell>
        </row>
        <row r="244">
          <cell r="D244" t="str">
            <v>Richmond city</v>
          </cell>
          <cell r="Q244">
            <v>0</v>
          </cell>
          <cell r="R244">
            <v>0</v>
          </cell>
          <cell r="U244">
            <v>0</v>
          </cell>
          <cell r="V244">
            <v>0</v>
          </cell>
          <cell r="Y244">
            <v>0</v>
          </cell>
          <cell r="Z244">
            <v>0</v>
          </cell>
          <cell r="AC244">
            <v>0</v>
          </cell>
          <cell r="AD244">
            <v>0</v>
          </cell>
          <cell r="AG244">
            <v>0</v>
          </cell>
          <cell r="AH244">
            <v>0</v>
          </cell>
          <cell r="AK244">
            <v>0</v>
          </cell>
          <cell r="AL244">
            <v>0</v>
          </cell>
        </row>
        <row r="245">
          <cell r="D245" t="str">
            <v>Richmond city</v>
          </cell>
          <cell r="Q245">
            <v>0</v>
          </cell>
          <cell r="R245">
            <v>0</v>
          </cell>
          <cell r="U245">
            <v>0</v>
          </cell>
          <cell r="V245">
            <v>0</v>
          </cell>
          <cell r="Y245">
            <v>0</v>
          </cell>
          <cell r="Z245">
            <v>0</v>
          </cell>
          <cell r="AC245">
            <v>0</v>
          </cell>
          <cell r="AD245">
            <v>0</v>
          </cell>
          <cell r="AG245">
            <v>0</v>
          </cell>
          <cell r="AH245">
            <v>0</v>
          </cell>
          <cell r="AK245">
            <v>0</v>
          </cell>
          <cell r="AL245">
            <v>0</v>
          </cell>
        </row>
        <row r="246">
          <cell r="D246" t="str">
            <v>Richmond city</v>
          </cell>
          <cell r="Q246">
            <v>0</v>
          </cell>
          <cell r="R246">
            <v>0</v>
          </cell>
          <cell r="U246">
            <v>0</v>
          </cell>
          <cell r="V246">
            <v>0</v>
          </cell>
          <cell r="Y246">
            <v>0</v>
          </cell>
          <cell r="Z246">
            <v>0</v>
          </cell>
          <cell r="AC246">
            <v>0</v>
          </cell>
          <cell r="AD246">
            <v>0</v>
          </cell>
          <cell r="AG246">
            <v>0</v>
          </cell>
          <cell r="AH246">
            <v>0</v>
          </cell>
          <cell r="AK246">
            <v>0</v>
          </cell>
          <cell r="AL246">
            <v>0</v>
          </cell>
        </row>
        <row r="247">
          <cell r="D247" t="str">
            <v>Richmond city</v>
          </cell>
          <cell r="Q247">
            <v>0</v>
          </cell>
          <cell r="R247">
            <v>0</v>
          </cell>
          <cell r="U247">
            <v>0</v>
          </cell>
          <cell r="V247">
            <v>0</v>
          </cell>
          <cell r="Y247">
            <v>0</v>
          </cell>
          <cell r="Z247">
            <v>0</v>
          </cell>
          <cell r="AC247">
            <v>0</v>
          </cell>
          <cell r="AD247">
            <v>0</v>
          </cell>
          <cell r="AG247">
            <v>0</v>
          </cell>
          <cell r="AH247">
            <v>0</v>
          </cell>
          <cell r="AK247">
            <v>0</v>
          </cell>
          <cell r="AL247">
            <v>0</v>
          </cell>
        </row>
        <row r="248">
          <cell r="D248" t="str">
            <v>Richmond city</v>
          </cell>
          <cell r="Q248">
            <v>0</v>
          </cell>
          <cell r="R248">
            <v>0</v>
          </cell>
          <cell r="U248">
            <v>0</v>
          </cell>
          <cell r="V248">
            <v>0</v>
          </cell>
          <cell r="Y248">
            <v>0</v>
          </cell>
          <cell r="Z248">
            <v>0</v>
          </cell>
          <cell r="AC248">
            <v>0</v>
          </cell>
          <cell r="AD248">
            <v>0</v>
          </cell>
          <cell r="AG248">
            <v>0</v>
          </cell>
          <cell r="AH248">
            <v>0</v>
          </cell>
          <cell r="AK248">
            <v>0</v>
          </cell>
          <cell r="AL248">
            <v>0</v>
          </cell>
        </row>
        <row r="249">
          <cell r="D249" t="str">
            <v>Richmond city</v>
          </cell>
          <cell r="Q249">
            <v>0</v>
          </cell>
          <cell r="R249">
            <v>0</v>
          </cell>
          <cell r="U249">
            <v>0</v>
          </cell>
          <cell r="V249">
            <v>0</v>
          </cell>
          <cell r="Y249">
            <v>0</v>
          </cell>
          <cell r="Z249">
            <v>0</v>
          </cell>
          <cell r="AC249">
            <v>0</v>
          </cell>
          <cell r="AD249">
            <v>0</v>
          </cell>
          <cell r="AG249">
            <v>0</v>
          </cell>
          <cell r="AH249">
            <v>0</v>
          </cell>
          <cell r="AK249">
            <v>0</v>
          </cell>
          <cell r="AL249">
            <v>0</v>
          </cell>
        </row>
        <row r="250">
          <cell r="D250" t="str">
            <v>Richmond city</v>
          </cell>
          <cell r="Q250">
            <v>0</v>
          </cell>
          <cell r="R250">
            <v>0</v>
          </cell>
          <cell r="U250">
            <v>0</v>
          </cell>
          <cell r="V250">
            <v>0</v>
          </cell>
          <cell r="Y250">
            <v>0</v>
          </cell>
          <cell r="Z250">
            <v>0</v>
          </cell>
          <cell r="AC250">
            <v>0</v>
          </cell>
          <cell r="AD250">
            <v>0</v>
          </cell>
          <cell r="AG250">
            <v>0</v>
          </cell>
          <cell r="AH250">
            <v>0</v>
          </cell>
          <cell r="AK250">
            <v>0</v>
          </cell>
          <cell r="AL250">
            <v>0</v>
          </cell>
        </row>
        <row r="251">
          <cell r="D251" t="str">
            <v>Richmond city</v>
          </cell>
          <cell r="Q251">
            <v>0</v>
          </cell>
          <cell r="R251">
            <v>0</v>
          </cell>
          <cell r="U251">
            <v>0</v>
          </cell>
          <cell r="V251">
            <v>0</v>
          </cell>
          <cell r="Y251">
            <v>0</v>
          </cell>
          <cell r="Z251">
            <v>0</v>
          </cell>
          <cell r="AC251">
            <v>0</v>
          </cell>
          <cell r="AD251">
            <v>0</v>
          </cell>
          <cell r="AG251">
            <v>0</v>
          </cell>
          <cell r="AH251">
            <v>0</v>
          </cell>
          <cell r="AK251">
            <v>0</v>
          </cell>
          <cell r="AL251">
            <v>0</v>
          </cell>
        </row>
        <row r="252">
          <cell r="D252" t="str">
            <v>Richmond city</v>
          </cell>
          <cell r="Q252">
            <v>0</v>
          </cell>
          <cell r="R252">
            <v>0</v>
          </cell>
          <cell r="U252">
            <v>0</v>
          </cell>
          <cell r="V252">
            <v>0</v>
          </cell>
          <cell r="Y252">
            <v>0</v>
          </cell>
          <cell r="Z252">
            <v>0</v>
          </cell>
          <cell r="AC252">
            <v>0</v>
          </cell>
          <cell r="AD252">
            <v>0</v>
          </cell>
          <cell r="AG252">
            <v>0</v>
          </cell>
          <cell r="AH252">
            <v>0</v>
          </cell>
          <cell r="AK252">
            <v>0</v>
          </cell>
          <cell r="AL252">
            <v>0</v>
          </cell>
        </row>
        <row r="253">
          <cell r="D253" t="str">
            <v>Richmond city</v>
          </cell>
          <cell r="Q253">
            <v>0</v>
          </cell>
          <cell r="R253">
            <v>0</v>
          </cell>
          <cell r="U253">
            <v>0</v>
          </cell>
          <cell r="V253">
            <v>0</v>
          </cell>
          <cell r="Y253">
            <v>0</v>
          </cell>
          <cell r="Z253">
            <v>0</v>
          </cell>
          <cell r="AC253">
            <v>0</v>
          </cell>
          <cell r="AD253">
            <v>0</v>
          </cell>
          <cell r="AG253">
            <v>0</v>
          </cell>
          <cell r="AH253">
            <v>0</v>
          </cell>
          <cell r="AK253">
            <v>0</v>
          </cell>
          <cell r="AL253">
            <v>0</v>
          </cell>
        </row>
        <row r="254">
          <cell r="D254" t="str">
            <v>Richmond city</v>
          </cell>
          <cell r="Q254">
            <v>0</v>
          </cell>
          <cell r="R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C254">
            <v>0</v>
          </cell>
          <cell r="AD254">
            <v>0</v>
          </cell>
          <cell r="AG254">
            <v>0</v>
          </cell>
          <cell r="AH254">
            <v>0</v>
          </cell>
          <cell r="AK254">
            <v>0</v>
          </cell>
          <cell r="AL254">
            <v>0</v>
          </cell>
        </row>
        <row r="255">
          <cell r="D255" t="str">
            <v>Richmond city</v>
          </cell>
          <cell r="Q255">
            <v>0</v>
          </cell>
          <cell r="R255">
            <v>0</v>
          </cell>
          <cell r="U255">
            <v>0</v>
          </cell>
          <cell r="V255">
            <v>0</v>
          </cell>
          <cell r="Y255">
            <v>0</v>
          </cell>
          <cell r="Z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K255">
            <v>0</v>
          </cell>
          <cell r="AL255">
            <v>0</v>
          </cell>
        </row>
        <row r="256">
          <cell r="D256" t="str">
            <v>Richmond city</v>
          </cell>
          <cell r="Q256">
            <v>0</v>
          </cell>
          <cell r="R256">
            <v>0</v>
          </cell>
          <cell r="U256">
            <v>0</v>
          </cell>
          <cell r="V256">
            <v>0</v>
          </cell>
          <cell r="Y256">
            <v>0</v>
          </cell>
          <cell r="Z256">
            <v>0</v>
          </cell>
          <cell r="AC256">
            <v>0</v>
          </cell>
          <cell r="AD256">
            <v>0</v>
          </cell>
          <cell r="AG256">
            <v>0</v>
          </cell>
          <cell r="AH256">
            <v>0</v>
          </cell>
          <cell r="AK256">
            <v>0</v>
          </cell>
          <cell r="AL256">
            <v>0</v>
          </cell>
        </row>
        <row r="257">
          <cell r="D257" t="str">
            <v>Richmond city</v>
          </cell>
          <cell r="Q257">
            <v>0</v>
          </cell>
          <cell r="R257">
            <v>0</v>
          </cell>
          <cell r="U257">
            <v>0</v>
          </cell>
          <cell r="V257">
            <v>0</v>
          </cell>
          <cell r="Y257">
            <v>0</v>
          </cell>
          <cell r="Z257">
            <v>0</v>
          </cell>
          <cell r="AC257">
            <v>0</v>
          </cell>
          <cell r="AD257">
            <v>0</v>
          </cell>
          <cell r="AG257">
            <v>0</v>
          </cell>
          <cell r="AH257">
            <v>0</v>
          </cell>
          <cell r="AK257">
            <v>0</v>
          </cell>
          <cell r="AL257">
            <v>0</v>
          </cell>
        </row>
        <row r="258">
          <cell r="D258" t="str">
            <v>Richmond city</v>
          </cell>
          <cell r="Q258">
            <v>0</v>
          </cell>
          <cell r="R258">
            <v>0</v>
          </cell>
          <cell r="U258">
            <v>0</v>
          </cell>
          <cell r="V258">
            <v>0</v>
          </cell>
          <cell r="Y258">
            <v>0</v>
          </cell>
          <cell r="Z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K258">
            <v>0</v>
          </cell>
          <cell r="AL258">
            <v>0</v>
          </cell>
        </row>
        <row r="259">
          <cell r="D259" t="str">
            <v>Richmond city</v>
          </cell>
          <cell r="Q259">
            <v>0</v>
          </cell>
          <cell r="R259">
            <v>0</v>
          </cell>
          <cell r="U259">
            <v>0</v>
          </cell>
          <cell r="V259">
            <v>0</v>
          </cell>
          <cell r="Y259">
            <v>0</v>
          </cell>
          <cell r="Z259">
            <v>0</v>
          </cell>
          <cell r="AC259">
            <v>0</v>
          </cell>
          <cell r="AD259">
            <v>0</v>
          </cell>
          <cell r="AG259">
            <v>0</v>
          </cell>
          <cell r="AH259">
            <v>0</v>
          </cell>
          <cell r="AK259">
            <v>0</v>
          </cell>
          <cell r="AL259">
            <v>0</v>
          </cell>
        </row>
        <row r="260">
          <cell r="D260" t="str">
            <v>Richmond city</v>
          </cell>
          <cell r="Q260">
            <v>0</v>
          </cell>
          <cell r="R260">
            <v>0</v>
          </cell>
          <cell r="U260">
            <v>0</v>
          </cell>
          <cell r="V260">
            <v>0</v>
          </cell>
          <cell r="Y260">
            <v>0</v>
          </cell>
          <cell r="Z260">
            <v>0</v>
          </cell>
          <cell r="AC260">
            <v>0</v>
          </cell>
          <cell r="AD260">
            <v>0</v>
          </cell>
          <cell r="AG260">
            <v>0</v>
          </cell>
          <cell r="AH260">
            <v>0</v>
          </cell>
          <cell r="AK260">
            <v>0</v>
          </cell>
          <cell r="AL260">
            <v>0</v>
          </cell>
        </row>
        <row r="261">
          <cell r="D261" t="str">
            <v>Richmond city</v>
          </cell>
          <cell r="Q261">
            <v>0</v>
          </cell>
          <cell r="R261">
            <v>0</v>
          </cell>
          <cell r="U261">
            <v>0</v>
          </cell>
          <cell r="V261">
            <v>0</v>
          </cell>
          <cell r="Y261">
            <v>0</v>
          </cell>
          <cell r="Z261">
            <v>0</v>
          </cell>
          <cell r="AC261">
            <v>0</v>
          </cell>
          <cell r="AD261">
            <v>0</v>
          </cell>
          <cell r="AG261">
            <v>0</v>
          </cell>
          <cell r="AH261">
            <v>0</v>
          </cell>
          <cell r="AK261">
            <v>0</v>
          </cell>
          <cell r="AL261">
            <v>0</v>
          </cell>
        </row>
        <row r="262">
          <cell r="D262" t="str">
            <v>Richmond city</v>
          </cell>
          <cell r="Q262">
            <v>0</v>
          </cell>
          <cell r="R262">
            <v>0</v>
          </cell>
          <cell r="U262">
            <v>0</v>
          </cell>
          <cell r="V262">
            <v>0</v>
          </cell>
          <cell r="Y262">
            <v>0</v>
          </cell>
          <cell r="Z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K262">
            <v>0</v>
          </cell>
          <cell r="AL262">
            <v>0</v>
          </cell>
        </row>
        <row r="263">
          <cell r="D263" t="str">
            <v>Richmond city</v>
          </cell>
          <cell r="Q263">
            <v>0</v>
          </cell>
          <cell r="R263">
            <v>0</v>
          </cell>
          <cell r="U263">
            <v>0</v>
          </cell>
          <cell r="V263">
            <v>0</v>
          </cell>
          <cell r="Y263">
            <v>0</v>
          </cell>
          <cell r="Z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K263">
            <v>0</v>
          </cell>
          <cell r="AL263">
            <v>0</v>
          </cell>
        </row>
        <row r="264">
          <cell r="D264" t="str">
            <v>Richmond city</v>
          </cell>
          <cell r="Q264">
            <v>0</v>
          </cell>
          <cell r="R264">
            <v>0</v>
          </cell>
          <cell r="U264">
            <v>0</v>
          </cell>
          <cell r="V264">
            <v>0</v>
          </cell>
          <cell r="Y264">
            <v>0</v>
          </cell>
          <cell r="Z264">
            <v>0</v>
          </cell>
          <cell r="AC264">
            <v>0</v>
          </cell>
          <cell r="AD264">
            <v>0</v>
          </cell>
          <cell r="AG264">
            <v>0</v>
          </cell>
          <cell r="AH264">
            <v>0</v>
          </cell>
          <cell r="AK264">
            <v>0</v>
          </cell>
          <cell r="AL264">
            <v>0</v>
          </cell>
        </row>
        <row r="265">
          <cell r="D265" t="str">
            <v>Richmond city</v>
          </cell>
          <cell r="Q265">
            <v>0</v>
          </cell>
          <cell r="R265">
            <v>0</v>
          </cell>
          <cell r="U265">
            <v>0</v>
          </cell>
          <cell r="V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K265">
            <v>0</v>
          </cell>
          <cell r="AL265">
            <v>0</v>
          </cell>
        </row>
        <row r="266">
          <cell r="D266" t="str">
            <v>Richmond city</v>
          </cell>
          <cell r="Q266">
            <v>0</v>
          </cell>
          <cell r="R266">
            <v>0</v>
          </cell>
          <cell r="U266">
            <v>0</v>
          </cell>
          <cell r="V266">
            <v>0</v>
          </cell>
          <cell r="Y266">
            <v>0</v>
          </cell>
          <cell r="Z266">
            <v>0</v>
          </cell>
          <cell r="AC266">
            <v>0</v>
          </cell>
          <cell r="AD266">
            <v>0</v>
          </cell>
          <cell r="AG266">
            <v>0</v>
          </cell>
          <cell r="AH266">
            <v>0</v>
          </cell>
          <cell r="AK266">
            <v>0</v>
          </cell>
          <cell r="AL266">
            <v>0</v>
          </cell>
        </row>
        <row r="267">
          <cell r="D267" t="str">
            <v>Richmond city</v>
          </cell>
          <cell r="Q267">
            <v>0</v>
          </cell>
          <cell r="R267">
            <v>0</v>
          </cell>
          <cell r="U267">
            <v>0</v>
          </cell>
          <cell r="V267">
            <v>0</v>
          </cell>
          <cell r="Y267">
            <v>0</v>
          </cell>
          <cell r="Z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K267">
            <v>0</v>
          </cell>
          <cell r="AL267">
            <v>0</v>
          </cell>
        </row>
        <row r="268">
          <cell r="D268" t="str">
            <v>Richmond city</v>
          </cell>
          <cell r="Q268">
            <v>0</v>
          </cell>
          <cell r="R268">
            <v>0</v>
          </cell>
          <cell r="U268">
            <v>0</v>
          </cell>
          <cell r="V268">
            <v>0</v>
          </cell>
          <cell r="Y268">
            <v>0</v>
          </cell>
          <cell r="Z268">
            <v>0</v>
          </cell>
          <cell r="AC268">
            <v>0</v>
          </cell>
          <cell r="AD268">
            <v>0</v>
          </cell>
          <cell r="AG268">
            <v>0</v>
          </cell>
          <cell r="AH268">
            <v>0</v>
          </cell>
          <cell r="AK268">
            <v>0</v>
          </cell>
          <cell r="AL268">
            <v>0</v>
          </cell>
        </row>
        <row r="269">
          <cell r="D269" t="str">
            <v>Richmond city</v>
          </cell>
          <cell r="Q269">
            <v>0</v>
          </cell>
          <cell r="R269">
            <v>0</v>
          </cell>
          <cell r="U269">
            <v>0</v>
          </cell>
          <cell r="V269">
            <v>0</v>
          </cell>
          <cell r="Y269">
            <v>0</v>
          </cell>
          <cell r="Z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K269">
            <v>0</v>
          </cell>
          <cell r="AL269">
            <v>0</v>
          </cell>
        </row>
        <row r="270">
          <cell r="D270" t="str">
            <v>Richmond city</v>
          </cell>
          <cell r="Q270">
            <v>0</v>
          </cell>
          <cell r="R270">
            <v>0</v>
          </cell>
          <cell r="U270">
            <v>0</v>
          </cell>
          <cell r="V270">
            <v>0</v>
          </cell>
          <cell r="Y270">
            <v>0</v>
          </cell>
          <cell r="Z270">
            <v>0</v>
          </cell>
          <cell r="AC270">
            <v>0</v>
          </cell>
          <cell r="AD270">
            <v>0</v>
          </cell>
          <cell r="AG270">
            <v>0</v>
          </cell>
          <cell r="AH270">
            <v>0</v>
          </cell>
          <cell r="AK270">
            <v>0</v>
          </cell>
          <cell r="AL270">
            <v>0</v>
          </cell>
        </row>
        <row r="271">
          <cell r="D271" t="str">
            <v>Richmond city</v>
          </cell>
          <cell r="Q271">
            <v>0</v>
          </cell>
          <cell r="R271">
            <v>0</v>
          </cell>
          <cell r="U271">
            <v>0</v>
          </cell>
          <cell r="V271">
            <v>0</v>
          </cell>
          <cell r="Y271">
            <v>0</v>
          </cell>
          <cell r="Z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K271">
            <v>0</v>
          </cell>
          <cell r="AL271">
            <v>0</v>
          </cell>
        </row>
        <row r="272">
          <cell r="D272" t="str">
            <v>Richmond city</v>
          </cell>
          <cell r="Q272">
            <v>0</v>
          </cell>
          <cell r="R272">
            <v>0</v>
          </cell>
          <cell r="U272">
            <v>0</v>
          </cell>
          <cell r="V272">
            <v>0</v>
          </cell>
          <cell r="Y272">
            <v>0</v>
          </cell>
          <cell r="Z272">
            <v>0</v>
          </cell>
          <cell r="AC272">
            <v>0</v>
          </cell>
          <cell r="AD272">
            <v>0</v>
          </cell>
          <cell r="AG272">
            <v>0</v>
          </cell>
          <cell r="AH272">
            <v>0</v>
          </cell>
          <cell r="AK272">
            <v>0</v>
          </cell>
          <cell r="AL272">
            <v>0</v>
          </cell>
        </row>
        <row r="273">
          <cell r="D273" t="str">
            <v>Richmond city</v>
          </cell>
          <cell r="Q273">
            <v>0</v>
          </cell>
          <cell r="R273">
            <v>0</v>
          </cell>
          <cell r="U273">
            <v>0</v>
          </cell>
          <cell r="V273">
            <v>0</v>
          </cell>
          <cell r="Y273">
            <v>0</v>
          </cell>
          <cell r="Z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K273">
            <v>0</v>
          </cell>
          <cell r="AL273">
            <v>0</v>
          </cell>
        </row>
        <row r="274">
          <cell r="D274" t="str">
            <v>Richmond city</v>
          </cell>
          <cell r="Q274">
            <v>0</v>
          </cell>
          <cell r="R274">
            <v>0</v>
          </cell>
          <cell r="U274">
            <v>0</v>
          </cell>
          <cell r="V274">
            <v>0</v>
          </cell>
          <cell r="Y274">
            <v>0</v>
          </cell>
          <cell r="Z274">
            <v>0</v>
          </cell>
          <cell r="AC274">
            <v>0</v>
          </cell>
          <cell r="AD274">
            <v>0</v>
          </cell>
          <cell r="AG274">
            <v>0</v>
          </cell>
          <cell r="AH274">
            <v>0</v>
          </cell>
          <cell r="AK274">
            <v>0</v>
          </cell>
          <cell r="AL274">
            <v>0</v>
          </cell>
        </row>
        <row r="275">
          <cell r="D275" t="str">
            <v>Richmond city</v>
          </cell>
          <cell r="Q275">
            <v>0</v>
          </cell>
          <cell r="R275">
            <v>0</v>
          </cell>
          <cell r="U275">
            <v>0</v>
          </cell>
          <cell r="V275">
            <v>0</v>
          </cell>
          <cell r="Y275">
            <v>0</v>
          </cell>
          <cell r="Z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K275">
            <v>0</v>
          </cell>
          <cell r="AL275">
            <v>0</v>
          </cell>
        </row>
        <row r="276">
          <cell r="D276" t="str">
            <v>Richmond city</v>
          </cell>
          <cell r="Q276">
            <v>0</v>
          </cell>
          <cell r="R276">
            <v>0</v>
          </cell>
          <cell r="U276">
            <v>0</v>
          </cell>
          <cell r="V276">
            <v>0</v>
          </cell>
          <cell r="Y276">
            <v>0</v>
          </cell>
          <cell r="Z276">
            <v>0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K276">
            <v>0</v>
          </cell>
          <cell r="AL276">
            <v>0</v>
          </cell>
        </row>
        <row r="277">
          <cell r="D277" t="str">
            <v>Richmond city</v>
          </cell>
          <cell r="Q277">
            <v>0</v>
          </cell>
          <cell r="R277">
            <v>0</v>
          </cell>
          <cell r="U277">
            <v>0</v>
          </cell>
          <cell r="V277">
            <v>0</v>
          </cell>
          <cell r="Y277">
            <v>0</v>
          </cell>
          <cell r="Z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K277">
            <v>0</v>
          </cell>
          <cell r="AL277">
            <v>0</v>
          </cell>
        </row>
        <row r="278">
          <cell r="D278" t="str">
            <v>Richmond city</v>
          </cell>
          <cell r="Q278">
            <v>0</v>
          </cell>
          <cell r="R278">
            <v>0</v>
          </cell>
          <cell r="U278">
            <v>0</v>
          </cell>
          <cell r="V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G278">
            <v>0</v>
          </cell>
          <cell r="AH278">
            <v>0</v>
          </cell>
          <cell r="AK278">
            <v>0</v>
          </cell>
          <cell r="AL278">
            <v>0</v>
          </cell>
        </row>
        <row r="279">
          <cell r="D279" t="str">
            <v>Richmond city</v>
          </cell>
          <cell r="Q279">
            <v>0</v>
          </cell>
          <cell r="R279">
            <v>0</v>
          </cell>
          <cell r="U279">
            <v>0</v>
          </cell>
          <cell r="V279">
            <v>0</v>
          </cell>
          <cell r="Y279">
            <v>0</v>
          </cell>
          <cell r="Z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K279">
            <v>0</v>
          </cell>
          <cell r="AL279">
            <v>0</v>
          </cell>
        </row>
        <row r="280">
          <cell r="D280" t="str">
            <v>Richmond city</v>
          </cell>
          <cell r="Q280">
            <v>0</v>
          </cell>
          <cell r="R280">
            <v>0</v>
          </cell>
          <cell r="U280">
            <v>0</v>
          </cell>
          <cell r="V280">
            <v>0</v>
          </cell>
          <cell r="Y280">
            <v>0</v>
          </cell>
          <cell r="Z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K280">
            <v>0</v>
          </cell>
          <cell r="AL280">
            <v>0</v>
          </cell>
        </row>
        <row r="281">
          <cell r="D281" t="str">
            <v>Richmond city</v>
          </cell>
          <cell r="Q281">
            <v>0</v>
          </cell>
          <cell r="R281">
            <v>0</v>
          </cell>
          <cell r="U281">
            <v>0</v>
          </cell>
          <cell r="V281">
            <v>0</v>
          </cell>
          <cell r="Y281">
            <v>0</v>
          </cell>
          <cell r="Z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K281">
            <v>0</v>
          </cell>
          <cell r="AL281">
            <v>0</v>
          </cell>
        </row>
        <row r="282">
          <cell r="D282" t="str">
            <v>Richmond city</v>
          </cell>
          <cell r="Q282">
            <v>0</v>
          </cell>
          <cell r="R282">
            <v>0</v>
          </cell>
          <cell r="U282">
            <v>0</v>
          </cell>
          <cell r="V282">
            <v>0</v>
          </cell>
          <cell r="Y282">
            <v>0</v>
          </cell>
          <cell r="Z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K282">
            <v>0</v>
          </cell>
          <cell r="AL282">
            <v>0</v>
          </cell>
        </row>
        <row r="283">
          <cell r="D283" t="str">
            <v>Richmond city</v>
          </cell>
          <cell r="Q283">
            <v>0</v>
          </cell>
          <cell r="R283">
            <v>0</v>
          </cell>
          <cell r="U283">
            <v>0</v>
          </cell>
          <cell r="V283">
            <v>0</v>
          </cell>
          <cell r="Y283">
            <v>0</v>
          </cell>
          <cell r="Z283">
            <v>0</v>
          </cell>
          <cell r="AC283">
            <v>0</v>
          </cell>
          <cell r="AD283">
            <v>0</v>
          </cell>
          <cell r="AG283">
            <v>0</v>
          </cell>
          <cell r="AH283">
            <v>0</v>
          </cell>
          <cell r="AK283">
            <v>0</v>
          </cell>
          <cell r="AL283">
            <v>0</v>
          </cell>
        </row>
        <row r="284">
          <cell r="D284" t="str">
            <v>Richmond city</v>
          </cell>
          <cell r="Q284">
            <v>0</v>
          </cell>
          <cell r="R284">
            <v>0</v>
          </cell>
          <cell r="U284">
            <v>0</v>
          </cell>
          <cell r="V284">
            <v>0</v>
          </cell>
          <cell r="Y284">
            <v>0</v>
          </cell>
          <cell r="Z284">
            <v>0</v>
          </cell>
          <cell r="AC284">
            <v>0</v>
          </cell>
          <cell r="AD284">
            <v>0</v>
          </cell>
          <cell r="AG284">
            <v>0</v>
          </cell>
          <cell r="AH284">
            <v>0</v>
          </cell>
          <cell r="AK284">
            <v>0</v>
          </cell>
          <cell r="AL284">
            <v>0</v>
          </cell>
        </row>
        <row r="285">
          <cell r="D285" t="str">
            <v>Richmond city</v>
          </cell>
          <cell r="Q285">
            <v>0</v>
          </cell>
          <cell r="R285">
            <v>0</v>
          </cell>
          <cell r="U285">
            <v>0</v>
          </cell>
          <cell r="V285">
            <v>0</v>
          </cell>
          <cell r="Y285">
            <v>0</v>
          </cell>
          <cell r="Z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K285">
            <v>0</v>
          </cell>
          <cell r="AL285">
            <v>0</v>
          </cell>
        </row>
        <row r="286">
          <cell r="D286" t="str">
            <v>Richmond city</v>
          </cell>
          <cell r="Q286">
            <v>0</v>
          </cell>
          <cell r="R286">
            <v>0</v>
          </cell>
          <cell r="U286">
            <v>0</v>
          </cell>
          <cell r="V286">
            <v>0</v>
          </cell>
          <cell r="Y286">
            <v>0</v>
          </cell>
          <cell r="Z286">
            <v>0</v>
          </cell>
          <cell r="AC286">
            <v>0</v>
          </cell>
          <cell r="AD286">
            <v>0</v>
          </cell>
          <cell r="AG286">
            <v>0</v>
          </cell>
          <cell r="AH286">
            <v>0</v>
          </cell>
          <cell r="AK286">
            <v>0</v>
          </cell>
          <cell r="AL286">
            <v>0</v>
          </cell>
        </row>
        <row r="287">
          <cell r="D287" t="str">
            <v>Richmond city</v>
          </cell>
          <cell r="Q287">
            <v>0</v>
          </cell>
          <cell r="R287">
            <v>0</v>
          </cell>
          <cell r="U287">
            <v>0</v>
          </cell>
          <cell r="V287">
            <v>0</v>
          </cell>
          <cell r="Y287">
            <v>0</v>
          </cell>
          <cell r="Z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K287">
            <v>0</v>
          </cell>
          <cell r="AL287">
            <v>0</v>
          </cell>
        </row>
        <row r="288">
          <cell r="D288" t="str">
            <v>Richmond city</v>
          </cell>
          <cell r="Q288">
            <v>0</v>
          </cell>
          <cell r="R288">
            <v>0</v>
          </cell>
          <cell r="U288">
            <v>0</v>
          </cell>
          <cell r="V288">
            <v>0</v>
          </cell>
          <cell r="Y288">
            <v>0</v>
          </cell>
          <cell r="Z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K288">
            <v>0</v>
          </cell>
          <cell r="AL288">
            <v>0</v>
          </cell>
        </row>
        <row r="289">
          <cell r="D289" t="str">
            <v>Richmond city</v>
          </cell>
          <cell r="Q289">
            <v>0</v>
          </cell>
          <cell r="R289">
            <v>0</v>
          </cell>
          <cell r="U289">
            <v>0</v>
          </cell>
          <cell r="V289">
            <v>0</v>
          </cell>
          <cell r="Y289">
            <v>0</v>
          </cell>
          <cell r="Z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K289">
            <v>0</v>
          </cell>
          <cell r="AL289">
            <v>0</v>
          </cell>
        </row>
        <row r="290">
          <cell r="D290" t="str">
            <v>Richmond city</v>
          </cell>
          <cell r="Q290">
            <v>0</v>
          </cell>
          <cell r="R290">
            <v>0</v>
          </cell>
          <cell r="U290">
            <v>0</v>
          </cell>
          <cell r="V290">
            <v>0</v>
          </cell>
          <cell r="Y290">
            <v>0</v>
          </cell>
          <cell r="Z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K290">
            <v>0</v>
          </cell>
          <cell r="AL290">
            <v>0</v>
          </cell>
        </row>
        <row r="291">
          <cell r="D291" t="str">
            <v>Richmond city</v>
          </cell>
          <cell r="Q291">
            <v>0</v>
          </cell>
          <cell r="R291">
            <v>0</v>
          </cell>
          <cell r="U291">
            <v>0</v>
          </cell>
          <cell r="V291">
            <v>0</v>
          </cell>
          <cell r="Y291">
            <v>0</v>
          </cell>
          <cell r="Z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K291">
            <v>0</v>
          </cell>
          <cell r="AL291">
            <v>0</v>
          </cell>
        </row>
        <row r="292">
          <cell r="D292" t="str">
            <v>Richmond city</v>
          </cell>
          <cell r="Q292">
            <v>0</v>
          </cell>
          <cell r="R292">
            <v>0</v>
          </cell>
          <cell r="U292">
            <v>0</v>
          </cell>
          <cell r="V292">
            <v>0</v>
          </cell>
          <cell r="Y292">
            <v>0</v>
          </cell>
          <cell r="Z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K292">
            <v>0</v>
          </cell>
          <cell r="AL292">
            <v>0</v>
          </cell>
        </row>
        <row r="293">
          <cell r="D293" t="str">
            <v>Richmond city</v>
          </cell>
          <cell r="Q293">
            <v>0</v>
          </cell>
          <cell r="R293">
            <v>0</v>
          </cell>
          <cell r="U293">
            <v>0</v>
          </cell>
          <cell r="V293">
            <v>0</v>
          </cell>
          <cell r="Y293">
            <v>0</v>
          </cell>
          <cell r="Z293">
            <v>0</v>
          </cell>
          <cell r="AC293">
            <v>0</v>
          </cell>
          <cell r="AD293">
            <v>0</v>
          </cell>
          <cell r="AG293">
            <v>0</v>
          </cell>
          <cell r="AH293">
            <v>0</v>
          </cell>
          <cell r="AK293">
            <v>0</v>
          </cell>
          <cell r="AL293">
            <v>0</v>
          </cell>
        </row>
        <row r="294">
          <cell r="D294" t="str">
            <v>Richmond city</v>
          </cell>
          <cell r="Q294">
            <v>0</v>
          </cell>
          <cell r="R294">
            <v>0</v>
          </cell>
          <cell r="U294">
            <v>0</v>
          </cell>
          <cell r="V294">
            <v>0</v>
          </cell>
          <cell r="Y294">
            <v>0</v>
          </cell>
          <cell r="Z294">
            <v>0</v>
          </cell>
          <cell r="AC294">
            <v>0</v>
          </cell>
          <cell r="AD294">
            <v>0</v>
          </cell>
          <cell r="AG294">
            <v>0</v>
          </cell>
          <cell r="AH294">
            <v>0</v>
          </cell>
          <cell r="AK294">
            <v>0</v>
          </cell>
          <cell r="AL294">
            <v>0</v>
          </cell>
        </row>
        <row r="295">
          <cell r="D295" t="str">
            <v>Richmond city</v>
          </cell>
          <cell r="Q295">
            <v>0</v>
          </cell>
          <cell r="R295">
            <v>0</v>
          </cell>
          <cell r="U295">
            <v>0</v>
          </cell>
          <cell r="V295">
            <v>0</v>
          </cell>
          <cell r="Y295">
            <v>0</v>
          </cell>
          <cell r="Z295">
            <v>0</v>
          </cell>
          <cell r="AC295">
            <v>0</v>
          </cell>
          <cell r="AD295">
            <v>0</v>
          </cell>
          <cell r="AG295">
            <v>0</v>
          </cell>
          <cell r="AH295">
            <v>0</v>
          </cell>
          <cell r="AK295">
            <v>0</v>
          </cell>
          <cell r="AL295">
            <v>0</v>
          </cell>
        </row>
        <row r="296">
          <cell r="D296" t="str">
            <v>Richmond city</v>
          </cell>
          <cell r="Q296">
            <v>0</v>
          </cell>
          <cell r="R296">
            <v>0</v>
          </cell>
          <cell r="U296">
            <v>0</v>
          </cell>
          <cell r="V296">
            <v>0</v>
          </cell>
          <cell r="Y296">
            <v>0</v>
          </cell>
          <cell r="Z296">
            <v>0</v>
          </cell>
          <cell r="AC296">
            <v>0</v>
          </cell>
          <cell r="AD296">
            <v>0</v>
          </cell>
          <cell r="AG296">
            <v>0</v>
          </cell>
          <cell r="AH296">
            <v>0</v>
          </cell>
          <cell r="AK296">
            <v>0</v>
          </cell>
          <cell r="AL296">
            <v>0</v>
          </cell>
        </row>
        <row r="297">
          <cell r="D297" t="str">
            <v>Richmond city</v>
          </cell>
          <cell r="Q297">
            <v>0</v>
          </cell>
          <cell r="R297">
            <v>0</v>
          </cell>
          <cell r="U297">
            <v>0</v>
          </cell>
          <cell r="V297">
            <v>0</v>
          </cell>
          <cell r="Y297">
            <v>0</v>
          </cell>
          <cell r="Z297">
            <v>0</v>
          </cell>
          <cell r="AC297">
            <v>0</v>
          </cell>
          <cell r="AD297">
            <v>0</v>
          </cell>
          <cell r="AG297">
            <v>0</v>
          </cell>
          <cell r="AH297">
            <v>0</v>
          </cell>
          <cell r="AK297">
            <v>0</v>
          </cell>
          <cell r="AL297">
            <v>0</v>
          </cell>
        </row>
        <row r="298">
          <cell r="D298" t="str">
            <v>Richmond city</v>
          </cell>
          <cell r="Q298">
            <v>0</v>
          </cell>
          <cell r="R298">
            <v>0</v>
          </cell>
          <cell r="U298">
            <v>0</v>
          </cell>
          <cell r="V298">
            <v>0</v>
          </cell>
          <cell r="Y298">
            <v>0</v>
          </cell>
          <cell r="Z298">
            <v>0</v>
          </cell>
          <cell r="AC298">
            <v>0</v>
          </cell>
          <cell r="AD298">
            <v>0</v>
          </cell>
          <cell r="AG298">
            <v>0</v>
          </cell>
          <cell r="AH298">
            <v>0</v>
          </cell>
          <cell r="AK298">
            <v>0</v>
          </cell>
          <cell r="AL298">
            <v>0</v>
          </cell>
        </row>
        <row r="299">
          <cell r="D299" t="str">
            <v>Richmond city</v>
          </cell>
          <cell r="Q299">
            <v>0</v>
          </cell>
          <cell r="R299">
            <v>0</v>
          </cell>
          <cell r="U299">
            <v>0</v>
          </cell>
          <cell r="V299">
            <v>0</v>
          </cell>
          <cell r="Y299">
            <v>0</v>
          </cell>
          <cell r="Z299">
            <v>0</v>
          </cell>
          <cell r="AC299">
            <v>0</v>
          </cell>
          <cell r="AD299">
            <v>0</v>
          </cell>
          <cell r="AG299">
            <v>0</v>
          </cell>
          <cell r="AH299">
            <v>0</v>
          </cell>
          <cell r="AK299">
            <v>0</v>
          </cell>
          <cell r="AL299">
            <v>0</v>
          </cell>
        </row>
        <row r="300">
          <cell r="D300" t="str">
            <v>Richmond city</v>
          </cell>
          <cell r="Q300">
            <v>0</v>
          </cell>
          <cell r="R300">
            <v>0</v>
          </cell>
          <cell r="U300">
            <v>0</v>
          </cell>
          <cell r="V300">
            <v>0</v>
          </cell>
          <cell r="Y300">
            <v>0</v>
          </cell>
          <cell r="Z300">
            <v>0</v>
          </cell>
          <cell r="AC300">
            <v>0</v>
          </cell>
          <cell r="AD300">
            <v>0</v>
          </cell>
          <cell r="AG300">
            <v>0</v>
          </cell>
          <cell r="AH300">
            <v>0</v>
          </cell>
          <cell r="AK300">
            <v>0</v>
          </cell>
          <cell r="AL300">
            <v>0</v>
          </cell>
        </row>
        <row r="301">
          <cell r="D301" t="str">
            <v>Richmond city</v>
          </cell>
          <cell r="Q301">
            <v>0</v>
          </cell>
          <cell r="R301">
            <v>0</v>
          </cell>
          <cell r="U301">
            <v>0</v>
          </cell>
          <cell r="V301">
            <v>0</v>
          </cell>
          <cell r="Y301">
            <v>0</v>
          </cell>
          <cell r="Z301">
            <v>0</v>
          </cell>
          <cell r="AC301">
            <v>0</v>
          </cell>
          <cell r="AD301">
            <v>0</v>
          </cell>
          <cell r="AG301">
            <v>0</v>
          </cell>
          <cell r="AH301">
            <v>0</v>
          </cell>
          <cell r="AK301">
            <v>0</v>
          </cell>
          <cell r="AL301">
            <v>0</v>
          </cell>
        </row>
        <row r="302">
          <cell r="D302" t="str">
            <v>Richmond city</v>
          </cell>
          <cell r="Q302">
            <v>0</v>
          </cell>
          <cell r="R302">
            <v>0</v>
          </cell>
          <cell r="U302">
            <v>0</v>
          </cell>
          <cell r="V302">
            <v>0</v>
          </cell>
          <cell r="Y302">
            <v>0</v>
          </cell>
          <cell r="Z302">
            <v>0</v>
          </cell>
          <cell r="AC302">
            <v>0</v>
          </cell>
          <cell r="AD302">
            <v>0</v>
          </cell>
          <cell r="AG302">
            <v>0</v>
          </cell>
          <cell r="AH302">
            <v>0</v>
          </cell>
          <cell r="AK302">
            <v>0</v>
          </cell>
          <cell r="AL302">
            <v>0</v>
          </cell>
        </row>
        <row r="303">
          <cell r="D303" t="str">
            <v>Richmond city</v>
          </cell>
          <cell r="Q303">
            <v>0</v>
          </cell>
          <cell r="R303">
            <v>0</v>
          </cell>
          <cell r="U303">
            <v>0</v>
          </cell>
          <cell r="V303">
            <v>0</v>
          </cell>
          <cell r="Y303">
            <v>0</v>
          </cell>
          <cell r="Z303">
            <v>0</v>
          </cell>
          <cell r="AC303">
            <v>0</v>
          </cell>
          <cell r="AD303">
            <v>0</v>
          </cell>
          <cell r="AG303">
            <v>0</v>
          </cell>
          <cell r="AH303">
            <v>0</v>
          </cell>
          <cell r="AK303">
            <v>0</v>
          </cell>
          <cell r="AL303">
            <v>0</v>
          </cell>
        </row>
        <row r="304">
          <cell r="D304" t="str">
            <v>Richmond city</v>
          </cell>
          <cell r="Q304">
            <v>0</v>
          </cell>
          <cell r="R304">
            <v>0</v>
          </cell>
          <cell r="U304">
            <v>0</v>
          </cell>
          <cell r="V304">
            <v>0</v>
          </cell>
          <cell r="Y304">
            <v>0</v>
          </cell>
          <cell r="Z304">
            <v>0</v>
          </cell>
          <cell r="AC304">
            <v>0</v>
          </cell>
          <cell r="AD304">
            <v>0</v>
          </cell>
          <cell r="AG304">
            <v>0</v>
          </cell>
          <cell r="AH304">
            <v>0</v>
          </cell>
          <cell r="AK304">
            <v>0</v>
          </cell>
          <cell r="AL304">
            <v>0</v>
          </cell>
        </row>
        <row r="305">
          <cell r="D305" t="str">
            <v>Richmond city</v>
          </cell>
          <cell r="Q305">
            <v>0</v>
          </cell>
          <cell r="R305">
            <v>0</v>
          </cell>
          <cell r="U305">
            <v>0</v>
          </cell>
          <cell r="V305">
            <v>0</v>
          </cell>
          <cell r="Y305">
            <v>0</v>
          </cell>
          <cell r="Z305">
            <v>0</v>
          </cell>
          <cell r="AC305">
            <v>0</v>
          </cell>
          <cell r="AD305">
            <v>0</v>
          </cell>
          <cell r="AG305">
            <v>0</v>
          </cell>
          <cell r="AH305">
            <v>0</v>
          </cell>
          <cell r="AK305">
            <v>0</v>
          </cell>
          <cell r="AL305">
            <v>0</v>
          </cell>
        </row>
        <row r="306">
          <cell r="D306" t="str">
            <v>Richmond city</v>
          </cell>
          <cell r="Q306">
            <v>0</v>
          </cell>
          <cell r="R306">
            <v>0</v>
          </cell>
          <cell r="U306">
            <v>0</v>
          </cell>
          <cell r="V306">
            <v>0</v>
          </cell>
          <cell r="Y306">
            <v>0</v>
          </cell>
          <cell r="Z306">
            <v>0</v>
          </cell>
          <cell r="AC306">
            <v>0</v>
          </cell>
          <cell r="AD306">
            <v>0</v>
          </cell>
          <cell r="AG306">
            <v>0</v>
          </cell>
          <cell r="AH306">
            <v>0</v>
          </cell>
          <cell r="AK306">
            <v>0</v>
          </cell>
          <cell r="AL306">
            <v>0</v>
          </cell>
        </row>
        <row r="307">
          <cell r="D307" t="str">
            <v>Richmond city</v>
          </cell>
          <cell r="Q307">
            <v>0</v>
          </cell>
          <cell r="R307">
            <v>0</v>
          </cell>
          <cell r="U307">
            <v>0</v>
          </cell>
          <cell r="V307">
            <v>0</v>
          </cell>
          <cell r="Y307">
            <v>0</v>
          </cell>
          <cell r="Z307">
            <v>0</v>
          </cell>
          <cell r="AC307">
            <v>0</v>
          </cell>
          <cell r="AD307">
            <v>0</v>
          </cell>
          <cell r="AG307">
            <v>0</v>
          </cell>
          <cell r="AH307">
            <v>0</v>
          </cell>
          <cell r="AK307">
            <v>0</v>
          </cell>
          <cell r="AL307">
            <v>0</v>
          </cell>
        </row>
        <row r="308">
          <cell r="D308" t="str">
            <v>Richmond city</v>
          </cell>
          <cell r="Q308">
            <v>0</v>
          </cell>
          <cell r="R308">
            <v>0</v>
          </cell>
          <cell r="U308">
            <v>0</v>
          </cell>
          <cell r="V308">
            <v>0</v>
          </cell>
          <cell r="Y308">
            <v>0</v>
          </cell>
          <cell r="Z308">
            <v>0</v>
          </cell>
          <cell r="AC308">
            <v>0</v>
          </cell>
          <cell r="AD308">
            <v>0</v>
          </cell>
          <cell r="AG308">
            <v>0</v>
          </cell>
          <cell r="AH308">
            <v>0</v>
          </cell>
          <cell r="AK308">
            <v>0</v>
          </cell>
          <cell r="AL308">
            <v>0</v>
          </cell>
        </row>
        <row r="309">
          <cell r="D309" t="str">
            <v>Richmond city</v>
          </cell>
          <cell r="Q309">
            <v>0</v>
          </cell>
          <cell r="R309">
            <v>0</v>
          </cell>
          <cell r="U309">
            <v>0</v>
          </cell>
          <cell r="V309">
            <v>0</v>
          </cell>
          <cell r="Y309">
            <v>0</v>
          </cell>
          <cell r="Z309">
            <v>0</v>
          </cell>
          <cell r="AC309">
            <v>0</v>
          </cell>
          <cell r="AD309">
            <v>0</v>
          </cell>
          <cell r="AG309">
            <v>0</v>
          </cell>
          <cell r="AH309">
            <v>0</v>
          </cell>
          <cell r="AK309">
            <v>0</v>
          </cell>
          <cell r="AL309">
            <v>0</v>
          </cell>
        </row>
        <row r="310">
          <cell r="D310" t="str">
            <v>Richmond city</v>
          </cell>
          <cell r="Q310">
            <v>0</v>
          </cell>
          <cell r="R310">
            <v>0</v>
          </cell>
          <cell r="U310">
            <v>0</v>
          </cell>
          <cell r="V310">
            <v>0</v>
          </cell>
          <cell r="Y310">
            <v>0</v>
          </cell>
          <cell r="Z310">
            <v>0</v>
          </cell>
          <cell r="AC310">
            <v>0</v>
          </cell>
          <cell r="AD310">
            <v>0</v>
          </cell>
          <cell r="AG310">
            <v>0</v>
          </cell>
          <cell r="AH310">
            <v>0</v>
          </cell>
          <cell r="AK310">
            <v>0</v>
          </cell>
          <cell r="AL310">
            <v>0</v>
          </cell>
        </row>
        <row r="311">
          <cell r="D311" t="str">
            <v>Richmond city</v>
          </cell>
          <cell r="Q311">
            <v>0</v>
          </cell>
          <cell r="R311">
            <v>0</v>
          </cell>
          <cell r="U311">
            <v>0</v>
          </cell>
          <cell r="V311">
            <v>0</v>
          </cell>
          <cell r="Y311">
            <v>0</v>
          </cell>
          <cell r="Z311">
            <v>0</v>
          </cell>
          <cell r="AC311">
            <v>0</v>
          </cell>
          <cell r="AD311">
            <v>0</v>
          </cell>
          <cell r="AG311">
            <v>0</v>
          </cell>
          <cell r="AH311">
            <v>0</v>
          </cell>
          <cell r="AK311">
            <v>0</v>
          </cell>
          <cell r="AL311">
            <v>0</v>
          </cell>
        </row>
        <row r="312">
          <cell r="D312" t="str">
            <v>Richmond city</v>
          </cell>
          <cell r="Q312">
            <v>0</v>
          </cell>
          <cell r="R312">
            <v>0</v>
          </cell>
          <cell r="U312">
            <v>0</v>
          </cell>
          <cell r="V312">
            <v>0</v>
          </cell>
          <cell r="Y312">
            <v>0</v>
          </cell>
          <cell r="Z312">
            <v>0</v>
          </cell>
          <cell r="AC312">
            <v>0</v>
          </cell>
          <cell r="AD312">
            <v>0</v>
          </cell>
          <cell r="AG312">
            <v>0</v>
          </cell>
          <cell r="AH312">
            <v>0</v>
          </cell>
          <cell r="AK312">
            <v>0</v>
          </cell>
          <cell r="AL312">
            <v>0</v>
          </cell>
        </row>
        <row r="313">
          <cell r="D313" t="str">
            <v>Richmond city</v>
          </cell>
          <cell r="Q313">
            <v>0</v>
          </cell>
          <cell r="R313">
            <v>0</v>
          </cell>
          <cell r="U313">
            <v>0</v>
          </cell>
          <cell r="V313">
            <v>0</v>
          </cell>
          <cell r="Y313">
            <v>0</v>
          </cell>
          <cell r="Z313">
            <v>0</v>
          </cell>
          <cell r="AC313">
            <v>0</v>
          </cell>
          <cell r="AD313">
            <v>0</v>
          </cell>
          <cell r="AG313">
            <v>0</v>
          </cell>
          <cell r="AH313">
            <v>0</v>
          </cell>
          <cell r="AK313">
            <v>0</v>
          </cell>
          <cell r="AL313">
            <v>0</v>
          </cell>
        </row>
        <row r="314">
          <cell r="D314" t="str">
            <v>Richmond city</v>
          </cell>
          <cell r="Q314">
            <v>0</v>
          </cell>
          <cell r="R314">
            <v>0</v>
          </cell>
          <cell r="U314">
            <v>0</v>
          </cell>
          <cell r="V314">
            <v>0</v>
          </cell>
          <cell r="Y314">
            <v>0</v>
          </cell>
          <cell r="Z314">
            <v>0</v>
          </cell>
          <cell r="AC314">
            <v>0</v>
          </cell>
          <cell r="AD314">
            <v>0</v>
          </cell>
          <cell r="AG314">
            <v>0</v>
          </cell>
          <cell r="AH314">
            <v>0</v>
          </cell>
          <cell r="AK314">
            <v>0</v>
          </cell>
          <cell r="AL314">
            <v>0</v>
          </cell>
        </row>
        <row r="315">
          <cell r="D315" t="str">
            <v>Richmond city</v>
          </cell>
          <cell r="Q315">
            <v>0</v>
          </cell>
          <cell r="R315">
            <v>0</v>
          </cell>
          <cell r="U315">
            <v>0</v>
          </cell>
          <cell r="V315">
            <v>0</v>
          </cell>
          <cell r="Y315">
            <v>0</v>
          </cell>
          <cell r="Z315">
            <v>0</v>
          </cell>
          <cell r="AC315">
            <v>0</v>
          </cell>
          <cell r="AD315">
            <v>0</v>
          </cell>
          <cell r="AG315">
            <v>0</v>
          </cell>
          <cell r="AH315">
            <v>0</v>
          </cell>
          <cell r="AK315">
            <v>0</v>
          </cell>
          <cell r="AL315">
            <v>0</v>
          </cell>
        </row>
        <row r="316">
          <cell r="D316" t="str">
            <v>Richmond city</v>
          </cell>
          <cell r="Q316">
            <v>0</v>
          </cell>
          <cell r="R316">
            <v>0</v>
          </cell>
          <cell r="U316">
            <v>0</v>
          </cell>
          <cell r="V316">
            <v>0</v>
          </cell>
          <cell r="Y316">
            <v>0</v>
          </cell>
          <cell r="Z316">
            <v>0</v>
          </cell>
          <cell r="AC316">
            <v>0</v>
          </cell>
          <cell r="AD316">
            <v>0</v>
          </cell>
          <cell r="AG316">
            <v>0</v>
          </cell>
          <cell r="AH316">
            <v>0</v>
          </cell>
          <cell r="AK316">
            <v>0</v>
          </cell>
          <cell r="AL316">
            <v>0</v>
          </cell>
        </row>
        <row r="317">
          <cell r="D317" t="str">
            <v>Richmond city</v>
          </cell>
          <cell r="Q317">
            <v>0</v>
          </cell>
          <cell r="R317">
            <v>0</v>
          </cell>
          <cell r="U317">
            <v>0</v>
          </cell>
          <cell r="V317">
            <v>0</v>
          </cell>
          <cell r="Y317">
            <v>0</v>
          </cell>
          <cell r="Z317">
            <v>0</v>
          </cell>
          <cell r="AC317">
            <v>0</v>
          </cell>
          <cell r="AD317">
            <v>0</v>
          </cell>
          <cell r="AG317">
            <v>0</v>
          </cell>
          <cell r="AH317">
            <v>0</v>
          </cell>
          <cell r="AK317">
            <v>0</v>
          </cell>
          <cell r="AL317">
            <v>0</v>
          </cell>
        </row>
        <row r="318">
          <cell r="D318" t="str">
            <v>Richmond city</v>
          </cell>
          <cell r="Q318">
            <v>0</v>
          </cell>
          <cell r="R318">
            <v>0</v>
          </cell>
          <cell r="U318">
            <v>0</v>
          </cell>
          <cell r="V318">
            <v>0</v>
          </cell>
          <cell r="Y318">
            <v>0</v>
          </cell>
          <cell r="Z318">
            <v>0</v>
          </cell>
          <cell r="AC318">
            <v>0</v>
          </cell>
          <cell r="AD318">
            <v>0</v>
          </cell>
          <cell r="AG318">
            <v>0</v>
          </cell>
          <cell r="AH318">
            <v>0</v>
          </cell>
          <cell r="AK318">
            <v>0</v>
          </cell>
          <cell r="AL318">
            <v>0</v>
          </cell>
        </row>
        <row r="319">
          <cell r="D319" t="str">
            <v>Richmond city</v>
          </cell>
          <cell r="Q319">
            <v>0</v>
          </cell>
          <cell r="R319">
            <v>0</v>
          </cell>
          <cell r="U319">
            <v>0</v>
          </cell>
          <cell r="V319">
            <v>0</v>
          </cell>
          <cell r="Y319">
            <v>0</v>
          </cell>
          <cell r="Z319">
            <v>0</v>
          </cell>
          <cell r="AC319">
            <v>0</v>
          </cell>
          <cell r="AD319">
            <v>0</v>
          </cell>
          <cell r="AG319">
            <v>0</v>
          </cell>
          <cell r="AH319">
            <v>0</v>
          </cell>
          <cell r="AK319">
            <v>0</v>
          </cell>
          <cell r="AL319">
            <v>0</v>
          </cell>
        </row>
        <row r="320">
          <cell r="D320" t="str">
            <v>Richmond city</v>
          </cell>
          <cell r="Q320">
            <v>0</v>
          </cell>
          <cell r="R320">
            <v>0</v>
          </cell>
          <cell r="U320">
            <v>0</v>
          </cell>
          <cell r="V320">
            <v>0</v>
          </cell>
          <cell r="Y320">
            <v>0</v>
          </cell>
          <cell r="Z320">
            <v>0</v>
          </cell>
          <cell r="AC320">
            <v>0</v>
          </cell>
          <cell r="AD320">
            <v>0</v>
          </cell>
          <cell r="AG320">
            <v>0</v>
          </cell>
          <cell r="AH320">
            <v>0</v>
          </cell>
          <cell r="AK320">
            <v>0</v>
          </cell>
          <cell r="AL320">
            <v>0</v>
          </cell>
        </row>
        <row r="321">
          <cell r="D321" t="str">
            <v>Richmond city</v>
          </cell>
          <cell r="Q321">
            <v>0</v>
          </cell>
          <cell r="R321">
            <v>0</v>
          </cell>
          <cell r="U321">
            <v>0</v>
          </cell>
          <cell r="V321">
            <v>0</v>
          </cell>
          <cell r="Y321">
            <v>0</v>
          </cell>
          <cell r="Z321">
            <v>0</v>
          </cell>
          <cell r="AC321">
            <v>0</v>
          </cell>
          <cell r="AD321">
            <v>0</v>
          </cell>
          <cell r="AG321">
            <v>0</v>
          </cell>
          <cell r="AH321">
            <v>0</v>
          </cell>
          <cell r="AK321">
            <v>0</v>
          </cell>
          <cell r="AL321">
            <v>0</v>
          </cell>
        </row>
        <row r="322">
          <cell r="D322" t="str">
            <v>Richmond city</v>
          </cell>
          <cell r="Q322">
            <v>0</v>
          </cell>
          <cell r="R322">
            <v>0</v>
          </cell>
          <cell r="U322">
            <v>0</v>
          </cell>
          <cell r="V322">
            <v>0</v>
          </cell>
          <cell r="Y322">
            <v>0</v>
          </cell>
          <cell r="Z322">
            <v>0</v>
          </cell>
          <cell r="AC322">
            <v>0</v>
          </cell>
          <cell r="AD322">
            <v>0</v>
          </cell>
          <cell r="AG322">
            <v>0</v>
          </cell>
          <cell r="AH322">
            <v>0</v>
          </cell>
          <cell r="AK322">
            <v>0</v>
          </cell>
          <cell r="AL322">
            <v>0</v>
          </cell>
        </row>
        <row r="323">
          <cell r="D323" t="str">
            <v>Richmond city</v>
          </cell>
          <cell r="Q323">
            <v>0</v>
          </cell>
          <cell r="R323">
            <v>0</v>
          </cell>
          <cell r="U323">
            <v>0</v>
          </cell>
          <cell r="V323">
            <v>0</v>
          </cell>
          <cell r="Y323">
            <v>0</v>
          </cell>
          <cell r="Z323">
            <v>0</v>
          </cell>
          <cell r="AC323">
            <v>0</v>
          </cell>
          <cell r="AD323">
            <v>0</v>
          </cell>
          <cell r="AG323">
            <v>0</v>
          </cell>
          <cell r="AH323">
            <v>0</v>
          </cell>
          <cell r="AK323">
            <v>0</v>
          </cell>
          <cell r="AL323">
            <v>0</v>
          </cell>
        </row>
        <row r="324">
          <cell r="D324" t="str">
            <v>Richmond city</v>
          </cell>
          <cell r="Q324">
            <v>0</v>
          </cell>
          <cell r="R324">
            <v>0</v>
          </cell>
          <cell r="U324">
            <v>0</v>
          </cell>
          <cell r="V324">
            <v>0</v>
          </cell>
          <cell r="Y324">
            <v>0</v>
          </cell>
          <cell r="Z324">
            <v>0</v>
          </cell>
          <cell r="AC324">
            <v>0</v>
          </cell>
          <cell r="AD324">
            <v>0</v>
          </cell>
          <cell r="AG324">
            <v>0</v>
          </cell>
          <cell r="AH324">
            <v>0</v>
          </cell>
          <cell r="AK324">
            <v>0</v>
          </cell>
          <cell r="AL324">
            <v>0</v>
          </cell>
        </row>
        <row r="325">
          <cell r="D325" t="str">
            <v>Richmond city</v>
          </cell>
          <cell r="Q325">
            <v>0</v>
          </cell>
          <cell r="R325">
            <v>0</v>
          </cell>
          <cell r="U325">
            <v>0</v>
          </cell>
          <cell r="V325">
            <v>0</v>
          </cell>
          <cell r="Y325">
            <v>0</v>
          </cell>
          <cell r="Z325">
            <v>0</v>
          </cell>
          <cell r="AC325">
            <v>0</v>
          </cell>
          <cell r="AD325">
            <v>0</v>
          </cell>
          <cell r="AG325">
            <v>0</v>
          </cell>
          <cell r="AH325">
            <v>0</v>
          </cell>
          <cell r="AK325">
            <v>0</v>
          </cell>
          <cell r="AL325">
            <v>0</v>
          </cell>
        </row>
        <row r="326">
          <cell r="D326" t="str">
            <v>Richmond city</v>
          </cell>
          <cell r="Q326">
            <v>0</v>
          </cell>
          <cell r="R326">
            <v>0</v>
          </cell>
          <cell r="U326">
            <v>0</v>
          </cell>
          <cell r="V326">
            <v>0</v>
          </cell>
          <cell r="Y326">
            <v>0</v>
          </cell>
          <cell r="Z326">
            <v>0</v>
          </cell>
          <cell r="AC326">
            <v>0</v>
          </cell>
          <cell r="AD326">
            <v>0</v>
          </cell>
          <cell r="AG326">
            <v>0</v>
          </cell>
          <cell r="AH326">
            <v>0</v>
          </cell>
          <cell r="AK326">
            <v>0</v>
          </cell>
          <cell r="AL326">
            <v>0</v>
          </cell>
        </row>
        <row r="327">
          <cell r="D327" t="str">
            <v>Richmond city</v>
          </cell>
          <cell r="Q327">
            <v>0</v>
          </cell>
          <cell r="R327">
            <v>0</v>
          </cell>
          <cell r="U327">
            <v>0</v>
          </cell>
          <cell r="V327">
            <v>0</v>
          </cell>
          <cell r="Y327">
            <v>0</v>
          </cell>
          <cell r="Z327">
            <v>0</v>
          </cell>
          <cell r="AC327">
            <v>0</v>
          </cell>
          <cell r="AD327">
            <v>0</v>
          </cell>
          <cell r="AG327">
            <v>0</v>
          </cell>
          <cell r="AH327">
            <v>0</v>
          </cell>
          <cell r="AK327">
            <v>0</v>
          </cell>
          <cell r="AL327">
            <v>0</v>
          </cell>
        </row>
        <row r="328">
          <cell r="D328" t="str">
            <v>Richmond city</v>
          </cell>
          <cell r="Q328">
            <v>0</v>
          </cell>
          <cell r="R328">
            <v>0</v>
          </cell>
          <cell r="U328">
            <v>0</v>
          </cell>
          <cell r="V328">
            <v>0</v>
          </cell>
          <cell r="Y328">
            <v>0</v>
          </cell>
          <cell r="Z328">
            <v>0</v>
          </cell>
          <cell r="AC328">
            <v>0</v>
          </cell>
          <cell r="AD328">
            <v>0</v>
          </cell>
          <cell r="AG328">
            <v>0</v>
          </cell>
          <cell r="AH328">
            <v>0</v>
          </cell>
          <cell r="AK328">
            <v>0</v>
          </cell>
          <cell r="AL328">
            <v>0</v>
          </cell>
        </row>
        <row r="329">
          <cell r="D329" t="str">
            <v>Richmond city</v>
          </cell>
          <cell r="Q329">
            <v>0</v>
          </cell>
          <cell r="R329">
            <v>0</v>
          </cell>
          <cell r="U329">
            <v>0</v>
          </cell>
          <cell r="V329">
            <v>0</v>
          </cell>
          <cell r="Y329">
            <v>0</v>
          </cell>
          <cell r="Z329">
            <v>0</v>
          </cell>
          <cell r="AC329">
            <v>0</v>
          </cell>
          <cell r="AD329">
            <v>0</v>
          </cell>
          <cell r="AG329">
            <v>0</v>
          </cell>
          <cell r="AH329">
            <v>0</v>
          </cell>
          <cell r="AK329">
            <v>0</v>
          </cell>
          <cell r="AL329">
            <v>0</v>
          </cell>
        </row>
        <row r="330">
          <cell r="D330" t="str">
            <v>Richmond city</v>
          </cell>
          <cell r="Q330">
            <v>0</v>
          </cell>
          <cell r="R330">
            <v>0</v>
          </cell>
          <cell r="U330">
            <v>0</v>
          </cell>
          <cell r="V330">
            <v>0</v>
          </cell>
          <cell r="Y330">
            <v>0</v>
          </cell>
          <cell r="Z330">
            <v>0</v>
          </cell>
          <cell r="AC330">
            <v>0</v>
          </cell>
          <cell r="AD330">
            <v>0</v>
          </cell>
          <cell r="AG330">
            <v>0</v>
          </cell>
          <cell r="AH330">
            <v>0</v>
          </cell>
          <cell r="AK330">
            <v>0</v>
          </cell>
          <cell r="AL330">
            <v>0</v>
          </cell>
        </row>
        <row r="331">
          <cell r="D331" t="str">
            <v>Richmond city</v>
          </cell>
          <cell r="Q331">
            <v>0</v>
          </cell>
          <cell r="R331">
            <v>0</v>
          </cell>
          <cell r="U331">
            <v>0</v>
          </cell>
          <cell r="V331">
            <v>0</v>
          </cell>
          <cell r="Y331">
            <v>0</v>
          </cell>
          <cell r="Z331">
            <v>0</v>
          </cell>
          <cell r="AC331">
            <v>0</v>
          </cell>
          <cell r="AD331">
            <v>0</v>
          </cell>
          <cell r="AG331">
            <v>0</v>
          </cell>
          <cell r="AH331">
            <v>0</v>
          </cell>
          <cell r="AK331">
            <v>0</v>
          </cell>
          <cell r="AL331">
            <v>0</v>
          </cell>
        </row>
        <row r="332">
          <cell r="D332" t="str">
            <v>Richmond city</v>
          </cell>
          <cell r="Q332">
            <v>0</v>
          </cell>
          <cell r="R332">
            <v>0</v>
          </cell>
          <cell r="U332">
            <v>0</v>
          </cell>
          <cell r="V332">
            <v>0</v>
          </cell>
          <cell r="Y332">
            <v>0</v>
          </cell>
          <cell r="Z332">
            <v>0</v>
          </cell>
          <cell r="AC332">
            <v>0</v>
          </cell>
          <cell r="AD332">
            <v>0</v>
          </cell>
          <cell r="AG332">
            <v>0</v>
          </cell>
          <cell r="AH332">
            <v>0</v>
          </cell>
          <cell r="AK332">
            <v>0</v>
          </cell>
          <cell r="AL332">
            <v>0</v>
          </cell>
        </row>
        <row r="333">
          <cell r="D333" t="str">
            <v>Richmond city</v>
          </cell>
          <cell r="Q333">
            <v>0</v>
          </cell>
          <cell r="R333">
            <v>8.3069378797256642E-3</v>
          </cell>
          <cell r="U333">
            <v>0</v>
          </cell>
          <cell r="V333">
            <v>8.5429187650685676E-3</v>
          </cell>
          <cell r="Y333">
            <v>0</v>
          </cell>
          <cell r="Z333">
            <v>8.6138557969097033E-3</v>
          </cell>
          <cell r="AC333">
            <v>0</v>
          </cell>
          <cell r="AD333">
            <v>8.7676138258621049E-3</v>
          </cell>
          <cell r="AG333">
            <v>0</v>
          </cell>
          <cell r="AH333">
            <v>8.8630198191126889E-3</v>
          </cell>
          <cell r="AK333">
            <v>0</v>
          </cell>
          <cell r="AL333">
            <v>8.8630198191126889E-3</v>
          </cell>
        </row>
        <row r="334">
          <cell r="D334" t="str">
            <v>Richmond city</v>
          </cell>
          <cell r="Q334">
            <v>0</v>
          </cell>
          <cell r="R334">
            <v>1.229955300348678E-2</v>
          </cell>
          <cell r="U334">
            <v>0</v>
          </cell>
          <cell r="V334">
            <v>1.5041761925528896E-2</v>
          </cell>
          <cell r="Y334">
            <v>0</v>
          </cell>
          <cell r="Z334">
            <v>1.6726756965470338E-2</v>
          </cell>
          <cell r="AC334">
            <v>0</v>
          </cell>
          <cell r="AD334">
            <v>1.8540213748168381E-2</v>
          </cell>
          <cell r="AG334">
            <v>0</v>
          </cell>
          <cell r="AH334">
            <v>2.231031686975209E-2</v>
          </cell>
          <cell r="AK334">
            <v>0</v>
          </cell>
          <cell r="AL334">
            <v>5.339955487321453E-2</v>
          </cell>
        </row>
        <row r="335">
          <cell r="D335" t="str">
            <v>Richmond city</v>
          </cell>
          <cell r="Q335">
            <v>0.86428284094292152</v>
          </cell>
          <cell r="R335">
            <v>1.4556342584301836</v>
          </cell>
          <cell r="U335">
            <v>1.0593720478482505</v>
          </cell>
          <cell r="V335">
            <v>1.7842055542707376</v>
          </cell>
          <cell r="Y335">
            <v>1.1795899883503453</v>
          </cell>
          <cell r="Z335">
            <v>1.986677875116371</v>
          </cell>
          <cell r="AC335">
            <v>1.216956059017801</v>
          </cell>
          <cell r="AD335">
            <v>2.0496102046615596</v>
          </cell>
          <cell r="AG335">
            <v>1.2491822042531151</v>
          </cell>
          <cell r="AH335">
            <v>2.103885817689457</v>
          </cell>
          <cell r="AK335">
            <v>1.2598908893899421</v>
          </cell>
          <cell r="AL335">
            <v>2.1219214979199026</v>
          </cell>
        </row>
        <row r="336">
          <cell r="D336" t="str">
            <v>Richmond city</v>
          </cell>
          <cell r="Q336">
            <v>1.8875231821494891</v>
          </cell>
          <cell r="R336">
            <v>4.4491617864952246</v>
          </cell>
          <cell r="U336">
            <v>1.9912946679347896</v>
          </cell>
          <cell r="V336">
            <v>4.6937660029891468</v>
          </cell>
          <cell r="Y336">
            <v>2.143613191802491</v>
          </cell>
          <cell r="Z336">
            <v>5.0528025235344431</v>
          </cell>
          <cell r="AC336">
            <v>2.1588860368868796</v>
          </cell>
          <cell r="AD336">
            <v>5.088802801233359</v>
          </cell>
          <cell r="AG336">
            <v>2.1626719005001052</v>
          </cell>
          <cell r="AH336">
            <v>5.0977266226073912</v>
          </cell>
          <cell r="AK336">
            <v>2.1626719005001052</v>
          </cell>
          <cell r="AL336">
            <v>5.0977266226073912</v>
          </cell>
        </row>
        <row r="337">
          <cell r="D337" t="str">
            <v>Richmond city</v>
          </cell>
          <cell r="Q337">
            <v>0.68630076129456852</v>
          </cell>
          <cell r="R337">
            <v>1.044370723709126</v>
          </cell>
          <cell r="U337">
            <v>0.72506512471454643</v>
          </cell>
          <cell r="V337">
            <v>1.1033599723917011</v>
          </cell>
          <cell r="Y337">
            <v>0.75980644606474934</v>
          </cell>
          <cell r="Z337">
            <v>1.1562272005333143</v>
          </cell>
          <cell r="AC337">
            <v>0.803743831798993</v>
          </cell>
          <cell r="AD337">
            <v>1.2230884396941197</v>
          </cell>
          <cell r="AG337">
            <v>0.80872831514635013</v>
          </cell>
          <cell r="AH337">
            <v>1.2306735230487937</v>
          </cell>
          <cell r="AK337">
            <v>0.82139567654533474</v>
          </cell>
          <cell r="AL337">
            <v>1.2499499425689877</v>
          </cell>
        </row>
        <row r="338">
          <cell r="D338" t="str">
            <v>Richmond city</v>
          </cell>
          <cell r="Q338">
            <v>2.0151733703381502</v>
          </cell>
          <cell r="R338">
            <v>3.6465041939452245</v>
          </cell>
          <cell r="U338">
            <v>3.9441094459095383</v>
          </cell>
          <cell r="V338">
            <v>7.136959949741069</v>
          </cell>
          <cell r="Y338">
            <v>4.174308756870226</v>
          </cell>
          <cell r="Z338">
            <v>7.5535110838604087</v>
          </cell>
          <cell r="AC338">
            <v>5.9854161400677972</v>
          </cell>
          <cell r="AD338">
            <v>10.830753015360777</v>
          </cell>
          <cell r="AG338">
            <v>7.0232411018786118</v>
          </cell>
          <cell r="AH338">
            <v>12.708721993875583</v>
          </cell>
          <cell r="AK338">
            <v>7.8467693668048737</v>
          </cell>
          <cell r="AL338">
            <v>14.198915997075487</v>
          </cell>
        </row>
        <row r="339">
          <cell r="D339" t="str">
            <v>Richmond city</v>
          </cell>
          <cell r="Q339">
            <v>4.237865049967432E-2</v>
          </cell>
          <cell r="R339">
            <v>6.2837309361586061E-2</v>
          </cell>
          <cell r="U339">
            <v>4.9094373256974452E-2</v>
          </cell>
          <cell r="V339">
            <v>7.2795105174134525E-2</v>
          </cell>
          <cell r="Y339">
            <v>4.9094373256974452E-2</v>
          </cell>
          <cell r="Z339">
            <v>7.2795105174134525E-2</v>
          </cell>
          <cell r="AC339">
            <v>4.9094373256974452E-2</v>
          </cell>
          <cell r="AD339">
            <v>7.2795105174134525E-2</v>
          </cell>
          <cell r="AG339">
            <v>4.9094373256974452E-2</v>
          </cell>
          <cell r="AH339">
            <v>7.2795105174134525E-2</v>
          </cell>
          <cell r="AK339">
            <v>4.9094373256974452E-2</v>
          </cell>
          <cell r="AL339">
            <v>7.2795105174134525E-2</v>
          </cell>
        </row>
        <row r="340">
          <cell r="D340" t="str">
            <v>Richmond city</v>
          </cell>
          <cell r="Q340">
            <v>0.20813061730423799</v>
          </cell>
          <cell r="R340">
            <v>0.38157279839110297</v>
          </cell>
          <cell r="U340">
            <v>0.20956456772743418</v>
          </cell>
          <cell r="V340">
            <v>0.38420170750029597</v>
          </cell>
          <cell r="Y340">
            <v>0.21154229196329638</v>
          </cell>
          <cell r="Z340">
            <v>0.38782753526604336</v>
          </cell>
          <cell r="AC340">
            <v>0.21392522315718196</v>
          </cell>
          <cell r="AD340">
            <v>0.39219624245483359</v>
          </cell>
          <cell r="AG340">
            <v>0.21598544148132623</v>
          </cell>
          <cell r="AH340">
            <v>0.39597330938243142</v>
          </cell>
          <cell r="AK340">
            <v>0.21783001132003221</v>
          </cell>
          <cell r="AL340">
            <v>0.39935502075339235</v>
          </cell>
        </row>
        <row r="341">
          <cell r="D341" t="str">
            <v>Richmond city</v>
          </cell>
          <cell r="Q341">
            <v>0</v>
          </cell>
          <cell r="R341">
            <v>0</v>
          </cell>
          <cell r="U341">
            <v>0</v>
          </cell>
          <cell r="V341">
            <v>0</v>
          </cell>
          <cell r="Y341">
            <v>0</v>
          </cell>
          <cell r="Z341">
            <v>0</v>
          </cell>
          <cell r="AC341">
            <v>0</v>
          </cell>
          <cell r="AD341">
            <v>0</v>
          </cell>
          <cell r="AG341">
            <v>2.0854840971109229E-3</v>
          </cell>
          <cell r="AH341">
            <v>2.6542524872320838E-3</v>
          </cell>
          <cell r="AK341">
            <v>5.6376124184409314E-3</v>
          </cell>
          <cell r="AL341">
            <v>7.1751430780157303E-3</v>
          </cell>
        </row>
        <row r="342">
          <cell r="D342" t="str">
            <v>Richmond city</v>
          </cell>
          <cell r="Q342">
            <v>0.42541799339686659</v>
          </cell>
          <cell r="R342">
            <v>0.6771959894888897</v>
          </cell>
          <cell r="U342">
            <v>0.47691442291509489</v>
          </cell>
          <cell r="V342">
            <v>0.75916989770157961</v>
          </cell>
          <cell r="Y342">
            <v>0.48583821030176821</v>
          </cell>
          <cell r="Z342">
            <v>0.77337511027628414</v>
          </cell>
          <cell r="AC342">
            <v>0.50461877565798241</v>
          </cell>
          <cell r="AD342">
            <v>0.80327070410862511</v>
          </cell>
          <cell r="AG342">
            <v>0.51349745920859224</v>
          </cell>
          <cell r="AH342">
            <v>0.81740411874020802</v>
          </cell>
          <cell r="AK342">
            <v>0.51515936132050033</v>
          </cell>
          <cell r="AL342">
            <v>0.82004959557140866</v>
          </cell>
        </row>
        <row r="343">
          <cell r="D343" t="str">
            <v>Richmond city</v>
          </cell>
          <cell r="Q343">
            <v>8.2429504091932355E-3</v>
          </cell>
          <cell r="R343">
            <v>2.183267946218749E-2</v>
          </cell>
          <cell r="U343">
            <v>9.7693821662415969E-3</v>
          </cell>
          <cell r="V343">
            <v>2.5875660872748014E-2</v>
          </cell>
          <cell r="Y343">
            <v>2.0000610094472224E-2</v>
          </cell>
          <cell r="Z343">
            <v>5.2974588898872375E-2</v>
          </cell>
          <cell r="AC343">
            <v>3.2805453690865211E-2</v>
          </cell>
          <cell r="AD343">
            <v>8.6890120586615965E-2</v>
          </cell>
          <cell r="AG343">
            <v>4.9646791552618467E-2</v>
          </cell>
          <cell r="AH343">
            <v>0.13149690735558406</v>
          </cell>
          <cell r="AK343">
            <v>4.9646791552618467E-2</v>
          </cell>
          <cell r="AL343">
            <v>0.13149690735558406</v>
          </cell>
        </row>
        <row r="344">
          <cell r="D344" t="str">
            <v>Richmond city</v>
          </cell>
          <cell r="Q344">
            <v>0.34737084359792142</v>
          </cell>
          <cell r="R344">
            <v>0.57732055696555962</v>
          </cell>
          <cell r="U344">
            <v>0.3944765475900629</v>
          </cell>
          <cell r="V344">
            <v>0.65560891007925948</v>
          </cell>
          <cell r="Y344">
            <v>0.68384541420015998</v>
          </cell>
          <cell r="Z344">
            <v>1.1365318151495618</v>
          </cell>
          <cell r="AC344">
            <v>1.3376688458492039</v>
          </cell>
          <cell r="AD344">
            <v>2.2231679409888176</v>
          </cell>
          <cell r="AG344">
            <v>1.6270299212422101</v>
          </cell>
          <cell r="AH344">
            <v>2.704077897275786</v>
          </cell>
          <cell r="AK344">
            <v>1.9571816201568286</v>
          </cell>
          <cell r="AL344">
            <v>3.2527807208240249</v>
          </cell>
        </row>
        <row r="345">
          <cell r="D345" t="str">
            <v>Richmond city</v>
          </cell>
          <cell r="Q345">
            <v>21.069777971638096</v>
          </cell>
          <cell r="R345">
            <v>38.433816099018237</v>
          </cell>
          <cell r="U345">
            <v>23.385165888567279</v>
          </cell>
          <cell r="V345">
            <v>42.657362902260914</v>
          </cell>
          <cell r="Y345">
            <v>25.308168662218637</v>
          </cell>
          <cell r="Z345">
            <v>46.165151881333493</v>
          </cell>
          <cell r="AC345">
            <v>27.547643627472254</v>
          </cell>
          <cell r="AD345">
            <v>50.250224305389089</v>
          </cell>
          <cell r="AG345">
            <v>31.626464524970707</v>
          </cell>
          <cell r="AH345">
            <v>57.690485540524456</v>
          </cell>
          <cell r="AK345">
            <v>37.568835329222004</v>
          </cell>
          <cell r="AL345">
            <v>68.530086555314512</v>
          </cell>
        </row>
        <row r="346">
          <cell r="D346" t="str">
            <v>Rodeo CDP</v>
          </cell>
          <cell r="Q346">
            <v>0</v>
          </cell>
          <cell r="R346">
            <v>0</v>
          </cell>
          <cell r="U346">
            <v>0</v>
          </cell>
          <cell r="V346">
            <v>0</v>
          </cell>
          <cell r="Y346">
            <v>0</v>
          </cell>
          <cell r="Z346">
            <v>0</v>
          </cell>
          <cell r="AC346">
            <v>0</v>
          </cell>
          <cell r="AD346">
            <v>0</v>
          </cell>
          <cell r="AG346">
            <v>0</v>
          </cell>
          <cell r="AH346">
            <v>0</v>
          </cell>
          <cell r="AK346">
            <v>0</v>
          </cell>
          <cell r="AL346">
            <v>0</v>
          </cell>
        </row>
        <row r="347">
          <cell r="D347" t="str">
            <v>Rodeo CDP</v>
          </cell>
          <cell r="Q347">
            <v>0</v>
          </cell>
          <cell r="R347">
            <v>0</v>
          </cell>
          <cell r="U347">
            <v>0</v>
          </cell>
          <cell r="V347">
            <v>0</v>
          </cell>
          <cell r="Y347">
            <v>0</v>
          </cell>
          <cell r="Z347">
            <v>0</v>
          </cell>
          <cell r="AC347">
            <v>0</v>
          </cell>
          <cell r="AD347">
            <v>0</v>
          </cell>
          <cell r="AG347">
            <v>0</v>
          </cell>
          <cell r="AH347">
            <v>0</v>
          </cell>
          <cell r="AK347">
            <v>0</v>
          </cell>
          <cell r="AL347">
            <v>0</v>
          </cell>
        </row>
        <row r="348">
          <cell r="D348" t="str">
            <v>Rodeo CDP</v>
          </cell>
          <cell r="Q348">
            <v>0</v>
          </cell>
          <cell r="R348">
            <v>0</v>
          </cell>
          <cell r="U348">
            <v>0</v>
          </cell>
          <cell r="V348">
            <v>0</v>
          </cell>
          <cell r="Y348">
            <v>0</v>
          </cell>
          <cell r="Z348">
            <v>0</v>
          </cell>
          <cell r="AC348">
            <v>0</v>
          </cell>
          <cell r="AD348">
            <v>0</v>
          </cell>
          <cell r="AG348">
            <v>0</v>
          </cell>
          <cell r="AH348">
            <v>0</v>
          </cell>
          <cell r="AK348">
            <v>0</v>
          </cell>
          <cell r="AL348">
            <v>0</v>
          </cell>
        </row>
        <row r="349">
          <cell r="D349" t="str">
            <v>Rodeo CDP</v>
          </cell>
          <cell r="Q349">
            <v>0</v>
          </cell>
          <cell r="R349">
            <v>0</v>
          </cell>
          <cell r="U349">
            <v>0</v>
          </cell>
          <cell r="V349">
            <v>0</v>
          </cell>
          <cell r="Y349">
            <v>0</v>
          </cell>
          <cell r="Z349">
            <v>0</v>
          </cell>
          <cell r="AC349">
            <v>0</v>
          </cell>
          <cell r="AD349">
            <v>0</v>
          </cell>
          <cell r="AG349">
            <v>0</v>
          </cell>
          <cell r="AH349">
            <v>0</v>
          </cell>
          <cell r="AK349">
            <v>0</v>
          </cell>
          <cell r="AL349">
            <v>0</v>
          </cell>
        </row>
        <row r="350">
          <cell r="D350" t="str">
            <v>Rodeo CDP</v>
          </cell>
          <cell r="Q350">
            <v>0</v>
          </cell>
          <cell r="R350">
            <v>0</v>
          </cell>
          <cell r="U350">
            <v>0</v>
          </cell>
          <cell r="V350">
            <v>0</v>
          </cell>
          <cell r="Y350">
            <v>0</v>
          </cell>
          <cell r="Z350">
            <v>0</v>
          </cell>
          <cell r="AC350">
            <v>0</v>
          </cell>
          <cell r="AD350">
            <v>0</v>
          </cell>
          <cell r="AG350">
            <v>0</v>
          </cell>
          <cell r="AH350">
            <v>0</v>
          </cell>
          <cell r="AK350">
            <v>0</v>
          </cell>
          <cell r="AL350">
            <v>0</v>
          </cell>
        </row>
        <row r="351">
          <cell r="D351" t="str">
            <v>Rodeo CDP</v>
          </cell>
          <cell r="Q351">
            <v>0</v>
          </cell>
          <cell r="R351">
            <v>0</v>
          </cell>
          <cell r="U351">
            <v>0</v>
          </cell>
          <cell r="V351">
            <v>0</v>
          </cell>
          <cell r="Y351">
            <v>0</v>
          </cell>
          <cell r="Z351">
            <v>0</v>
          </cell>
          <cell r="AC351">
            <v>0</v>
          </cell>
          <cell r="AD351">
            <v>0</v>
          </cell>
          <cell r="AG351">
            <v>0</v>
          </cell>
          <cell r="AH351">
            <v>0</v>
          </cell>
          <cell r="AK351">
            <v>0</v>
          </cell>
          <cell r="AL351">
            <v>0</v>
          </cell>
        </row>
        <row r="352">
          <cell r="D352" t="str">
            <v>Rodeo CDP</v>
          </cell>
          <cell r="Q352">
            <v>0</v>
          </cell>
          <cell r="R352">
            <v>0</v>
          </cell>
          <cell r="U352">
            <v>0</v>
          </cell>
          <cell r="V352">
            <v>0</v>
          </cell>
          <cell r="Y352">
            <v>0</v>
          </cell>
          <cell r="Z352">
            <v>0</v>
          </cell>
          <cell r="AC352">
            <v>0</v>
          </cell>
          <cell r="AD352">
            <v>0</v>
          </cell>
          <cell r="AG352">
            <v>0</v>
          </cell>
          <cell r="AH352">
            <v>0</v>
          </cell>
          <cell r="AK352">
            <v>0</v>
          </cell>
          <cell r="AL352">
            <v>0</v>
          </cell>
        </row>
        <row r="353">
          <cell r="D353" t="str">
            <v>Rodeo CDP</v>
          </cell>
          <cell r="Q353">
            <v>0</v>
          </cell>
          <cell r="R353">
            <v>0</v>
          </cell>
          <cell r="U353">
            <v>0</v>
          </cell>
          <cell r="V353">
            <v>0</v>
          </cell>
          <cell r="Y353">
            <v>0</v>
          </cell>
          <cell r="Z353">
            <v>0</v>
          </cell>
          <cell r="AC353">
            <v>0</v>
          </cell>
          <cell r="AD353">
            <v>0</v>
          </cell>
          <cell r="AG353">
            <v>0</v>
          </cell>
          <cell r="AH353">
            <v>0</v>
          </cell>
          <cell r="AK353">
            <v>0</v>
          </cell>
          <cell r="AL353">
            <v>0</v>
          </cell>
        </row>
        <row r="354">
          <cell r="D354" t="str">
            <v>Rodeo CDP</v>
          </cell>
          <cell r="Q354">
            <v>0</v>
          </cell>
          <cell r="R354">
            <v>0</v>
          </cell>
          <cell r="U354">
            <v>0</v>
          </cell>
          <cell r="V354">
            <v>0</v>
          </cell>
          <cell r="Y354">
            <v>0</v>
          </cell>
          <cell r="Z354">
            <v>0</v>
          </cell>
          <cell r="AC354">
            <v>0</v>
          </cell>
          <cell r="AD354">
            <v>0</v>
          </cell>
          <cell r="AG354">
            <v>0</v>
          </cell>
          <cell r="AH354">
            <v>0</v>
          </cell>
          <cell r="AK354">
            <v>0</v>
          </cell>
          <cell r="AL354">
            <v>0</v>
          </cell>
        </row>
        <row r="355">
          <cell r="D355" t="str">
            <v>Rodeo CDP</v>
          </cell>
          <cell r="Q355">
            <v>0</v>
          </cell>
          <cell r="R355">
            <v>0</v>
          </cell>
          <cell r="U355">
            <v>0</v>
          </cell>
          <cell r="V355">
            <v>0</v>
          </cell>
          <cell r="Y355">
            <v>0</v>
          </cell>
          <cell r="Z355">
            <v>0</v>
          </cell>
          <cell r="AC355">
            <v>0</v>
          </cell>
          <cell r="AD355">
            <v>0</v>
          </cell>
          <cell r="AG355">
            <v>0</v>
          </cell>
          <cell r="AH355">
            <v>0</v>
          </cell>
          <cell r="AK355">
            <v>3.4070881033570997</v>
          </cell>
          <cell r="AL355">
            <v>6.8141762067141993</v>
          </cell>
        </row>
        <row r="356">
          <cell r="D356" t="str">
            <v>Rodeo CDP</v>
          </cell>
          <cell r="Q356">
            <v>0</v>
          </cell>
          <cell r="R356">
            <v>0</v>
          </cell>
          <cell r="U356">
            <v>0</v>
          </cell>
          <cell r="V356">
            <v>0</v>
          </cell>
          <cell r="Y356">
            <v>0</v>
          </cell>
          <cell r="Z356">
            <v>0</v>
          </cell>
          <cell r="AC356">
            <v>0</v>
          </cell>
          <cell r="AD356">
            <v>0</v>
          </cell>
          <cell r="AG356">
            <v>0</v>
          </cell>
          <cell r="AH356">
            <v>0</v>
          </cell>
          <cell r="AK356">
            <v>0.31654192879750415</v>
          </cell>
          <cell r="AL356">
            <v>1.4244386795887687</v>
          </cell>
        </row>
        <row r="357">
          <cell r="D357" t="str">
            <v>Rodeo CDP</v>
          </cell>
          <cell r="Q357">
            <v>0</v>
          </cell>
          <cell r="R357">
            <v>0</v>
          </cell>
          <cell r="U357">
            <v>0</v>
          </cell>
          <cell r="V357">
            <v>0</v>
          </cell>
          <cell r="Y357">
            <v>0</v>
          </cell>
          <cell r="Z357">
            <v>0</v>
          </cell>
          <cell r="AC357">
            <v>0</v>
          </cell>
          <cell r="AD357">
            <v>0</v>
          </cell>
          <cell r="AG357">
            <v>0</v>
          </cell>
          <cell r="AH357">
            <v>0</v>
          </cell>
          <cell r="AK357">
            <v>0.80972279851644213</v>
          </cell>
          <cell r="AL357">
            <v>1.4575010373295958</v>
          </cell>
        </row>
        <row r="358">
          <cell r="D358" t="str">
            <v>Rodeo CDP</v>
          </cell>
          <cell r="Q358">
            <v>0</v>
          </cell>
          <cell r="R358">
            <v>0</v>
          </cell>
          <cell r="U358">
            <v>0</v>
          </cell>
          <cell r="V358">
            <v>0</v>
          </cell>
          <cell r="Y358">
            <v>0</v>
          </cell>
          <cell r="Z358">
            <v>0</v>
          </cell>
          <cell r="AC358">
            <v>0</v>
          </cell>
          <cell r="AD358">
            <v>0</v>
          </cell>
          <cell r="AG358">
            <v>0</v>
          </cell>
          <cell r="AH358">
            <v>0</v>
          </cell>
          <cell r="AK358">
            <v>7.9999999998956106</v>
          </cell>
          <cell r="AL358">
            <v>21.99999999971293</v>
          </cell>
        </row>
        <row r="359">
          <cell r="D359" t="str">
            <v>Rodeo CDP</v>
          </cell>
          <cell r="Q359">
            <v>0</v>
          </cell>
          <cell r="R359">
            <v>0</v>
          </cell>
          <cell r="U359">
            <v>0</v>
          </cell>
          <cell r="V359">
            <v>0</v>
          </cell>
          <cell r="Y359">
            <v>0</v>
          </cell>
          <cell r="Z359">
            <v>0</v>
          </cell>
          <cell r="AC359">
            <v>0</v>
          </cell>
          <cell r="AD359">
            <v>0</v>
          </cell>
          <cell r="AG359">
            <v>0</v>
          </cell>
          <cell r="AH359">
            <v>0</v>
          </cell>
          <cell r="AK359">
            <v>2.1952377319575849</v>
          </cell>
          <cell r="AL359">
            <v>4.3904754639151697</v>
          </cell>
        </row>
        <row r="360">
          <cell r="D360" t="str">
            <v>Rodeo CDP</v>
          </cell>
          <cell r="Q360">
            <v>0</v>
          </cell>
          <cell r="R360">
            <v>0</v>
          </cell>
          <cell r="U360">
            <v>0</v>
          </cell>
          <cell r="V360">
            <v>0</v>
          </cell>
          <cell r="Y360">
            <v>0</v>
          </cell>
          <cell r="Z360">
            <v>0</v>
          </cell>
          <cell r="AC360">
            <v>0</v>
          </cell>
          <cell r="AD360">
            <v>0</v>
          </cell>
          <cell r="AG360">
            <v>0</v>
          </cell>
          <cell r="AH360">
            <v>0</v>
          </cell>
          <cell r="AK360">
            <v>3.1829743764187288</v>
          </cell>
          <cell r="AL360">
            <v>5.6838828150334439</v>
          </cell>
        </row>
        <row r="361">
          <cell r="D361" t="str">
            <v>Rodeo CDP</v>
          </cell>
          <cell r="Q361">
            <v>0</v>
          </cell>
          <cell r="R361">
            <v>0</v>
          </cell>
          <cell r="U361">
            <v>0</v>
          </cell>
          <cell r="V361">
            <v>0</v>
          </cell>
          <cell r="Y361">
            <v>0</v>
          </cell>
          <cell r="Z361">
            <v>0</v>
          </cell>
          <cell r="AC361">
            <v>0</v>
          </cell>
          <cell r="AD361">
            <v>0</v>
          </cell>
          <cell r="AG361">
            <v>0</v>
          </cell>
          <cell r="AH361">
            <v>0</v>
          </cell>
          <cell r="AK361">
            <v>24.226939797451365</v>
          </cell>
          <cell r="AL361">
            <v>42.800926975497411</v>
          </cell>
        </row>
        <row r="362">
          <cell r="D362" t="str">
            <v>Rodeo CDP</v>
          </cell>
          <cell r="Q362">
            <v>0</v>
          </cell>
          <cell r="R362">
            <v>0</v>
          </cell>
          <cell r="U362">
            <v>0</v>
          </cell>
          <cell r="V362">
            <v>0</v>
          </cell>
          <cell r="Y362">
            <v>0</v>
          </cell>
          <cell r="Z362">
            <v>0</v>
          </cell>
          <cell r="AC362">
            <v>0</v>
          </cell>
          <cell r="AD362">
            <v>0</v>
          </cell>
          <cell r="AG362">
            <v>0</v>
          </cell>
          <cell r="AH362">
            <v>0</v>
          </cell>
          <cell r="AK362">
            <v>28.924406668436898</v>
          </cell>
          <cell r="AL362">
            <v>61.8383866704513</v>
          </cell>
        </row>
        <row r="363">
          <cell r="D363" t="str">
            <v>Rodeo CDP</v>
          </cell>
          <cell r="Q363">
            <v>0</v>
          </cell>
          <cell r="R363">
            <v>0</v>
          </cell>
          <cell r="U363">
            <v>0</v>
          </cell>
          <cell r="V363">
            <v>0</v>
          </cell>
          <cell r="Y363">
            <v>0</v>
          </cell>
          <cell r="Z363">
            <v>0</v>
          </cell>
          <cell r="AC363">
            <v>0</v>
          </cell>
          <cell r="AD363">
            <v>0</v>
          </cell>
          <cell r="AG363">
            <v>0</v>
          </cell>
          <cell r="AH363">
            <v>0</v>
          </cell>
          <cell r="AK363">
            <v>23.999999999802341</v>
          </cell>
          <cell r="AL363">
            <v>71.999999999407024</v>
          </cell>
        </row>
        <row r="364">
          <cell r="D364" t="str">
            <v>Rodeo CDP</v>
          </cell>
          <cell r="Q364">
            <v>0</v>
          </cell>
          <cell r="R364">
            <v>0</v>
          </cell>
          <cell r="U364">
            <v>0</v>
          </cell>
          <cell r="V364">
            <v>0</v>
          </cell>
          <cell r="Y364">
            <v>0</v>
          </cell>
          <cell r="Z364">
            <v>0</v>
          </cell>
          <cell r="AC364">
            <v>0</v>
          </cell>
          <cell r="AD364">
            <v>0</v>
          </cell>
          <cell r="AG364">
            <v>0</v>
          </cell>
          <cell r="AH364">
            <v>0</v>
          </cell>
          <cell r="AK364">
            <v>26.490292146177829</v>
          </cell>
          <cell r="AL364">
            <v>75.546388713173812</v>
          </cell>
        </row>
        <row r="365">
          <cell r="D365" t="str">
            <v>Rodeo CDP</v>
          </cell>
          <cell r="Q365">
            <v>0</v>
          </cell>
          <cell r="R365">
            <v>0</v>
          </cell>
          <cell r="U365">
            <v>0</v>
          </cell>
          <cell r="V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G365">
            <v>0</v>
          </cell>
          <cell r="AH365">
            <v>0</v>
          </cell>
          <cell r="AK365">
            <v>11.26664350821102</v>
          </cell>
          <cell r="AL365">
            <v>22.021166856957901</v>
          </cell>
        </row>
        <row r="366">
          <cell r="D366" t="str">
            <v>Rodeo CDP</v>
          </cell>
          <cell r="Q366">
            <v>0</v>
          </cell>
          <cell r="R366">
            <v>0</v>
          </cell>
          <cell r="U366">
            <v>0</v>
          </cell>
          <cell r="V366">
            <v>0</v>
          </cell>
          <cell r="Y366">
            <v>0</v>
          </cell>
          <cell r="Z366">
            <v>0</v>
          </cell>
          <cell r="AC366">
            <v>0</v>
          </cell>
          <cell r="AD366">
            <v>0</v>
          </cell>
          <cell r="AG366">
            <v>0</v>
          </cell>
          <cell r="AH366">
            <v>0</v>
          </cell>
          <cell r="AK366">
            <v>39.944504834799169</v>
          </cell>
          <cell r="AL366">
            <v>89.178429398621404</v>
          </cell>
        </row>
        <row r="367">
          <cell r="D367" t="str">
            <v>Rodeo CDP</v>
          </cell>
          <cell r="Q367">
            <v>0</v>
          </cell>
          <cell r="R367">
            <v>0</v>
          </cell>
          <cell r="U367">
            <v>0</v>
          </cell>
          <cell r="V367">
            <v>0</v>
          </cell>
          <cell r="Y367">
            <v>0</v>
          </cell>
          <cell r="Z367">
            <v>0</v>
          </cell>
          <cell r="AC367">
            <v>0</v>
          </cell>
          <cell r="AD367">
            <v>0</v>
          </cell>
          <cell r="AG367">
            <v>0</v>
          </cell>
          <cell r="AH367">
            <v>0</v>
          </cell>
          <cell r="AK367">
            <v>3.2755191138931924E-2</v>
          </cell>
          <cell r="AL367">
            <v>7.4972993051333078E-2</v>
          </cell>
        </row>
        <row r="368">
          <cell r="D368" t="str">
            <v>Rodeo CDP</v>
          </cell>
          <cell r="Q368">
            <v>0</v>
          </cell>
          <cell r="R368">
            <v>0</v>
          </cell>
          <cell r="U368">
            <v>0</v>
          </cell>
          <cell r="V368">
            <v>0</v>
          </cell>
          <cell r="Y368">
            <v>0</v>
          </cell>
          <cell r="Z368">
            <v>0</v>
          </cell>
          <cell r="AC368">
            <v>0</v>
          </cell>
          <cell r="AD368">
            <v>0</v>
          </cell>
          <cell r="AG368">
            <v>0</v>
          </cell>
          <cell r="AH368">
            <v>0</v>
          </cell>
          <cell r="AK368">
            <v>2.7641185337279541</v>
          </cell>
          <cell r="AL368">
            <v>6.0257784035269397</v>
          </cell>
        </row>
        <row r="369">
          <cell r="D369" t="str">
            <v>Rodeo CDP</v>
          </cell>
          <cell r="Q369">
            <v>0</v>
          </cell>
          <cell r="R369">
            <v>0</v>
          </cell>
          <cell r="U369">
            <v>0</v>
          </cell>
          <cell r="V369">
            <v>0</v>
          </cell>
          <cell r="Y369">
            <v>0</v>
          </cell>
          <cell r="Z369">
            <v>0</v>
          </cell>
          <cell r="AC369">
            <v>0</v>
          </cell>
          <cell r="AD369">
            <v>0</v>
          </cell>
          <cell r="AG369">
            <v>0</v>
          </cell>
          <cell r="AH369">
            <v>0</v>
          </cell>
          <cell r="AK369">
            <v>20.605994130079548</v>
          </cell>
          <cell r="AL369">
            <v>65.096208729114934</v>
          </cell>
        </row>
        <row r="370">
          <cell r="D370" t="str">
            <v>Rodeo CDP</v>
          </cell>
          <cell r="Q370">
            <v>0</v>
          </cell>
          <cell r="R370">
            <v>0</v>
          </cell>
          <cell r="U370">
            <v>0</v>
          </cell>
          <cell r="V370">
            <v>0</v>
          </cell>
          <cell r="Y370">
            <v>0</v>
          </cell>
          <cell r="Z370">
            <v>0</v>
          </cell>
          <cell r="AC370">
            <v>0</v>
          </cell>
          <cell r="AD370">
            <v>0</v>
          </cell>
          <cell r="AG370">
            <v>0</v>
          </cell>
          <cell r="AH370">
            <v>0</v>
          </cell>
          <cell r="AK370">
            <v>4.1685076617459593</v>
          </cell>
          <cell r="AL370">
            <v>11.303068852041926</v>
          </cell>
        </row>
        <row r="371">
          <cell r="D371" t="str">
            <v>Vine Hill CDP</v>
          </cell>
          <cell r="Q371">
            <v>0</v>
          </cell>
          <cell r="R371">
            <v>0</v>
          </cell>
          <cell r="U371">
            <v>0</v>
          </cell>
          <cell r="V371">
            <v>0</v>
          </cell>
          <cell r="Y371">
            <v>0</v>
          </cell>
          <cell r="Z371">
            <v>0</v>
          </cell>
          <cell r="AC371">
            <v>0</v>
          </cell>
          <cell r="AD371">
            <v>0</v>
          </cell>
          <cell r="AG371">
            <v>0</v>
          </cell>
          <cell r="AH371">
            <v>0</v>
          </cell>
          <cell r="AK371">
            <v>0</v>
          </cell>
          <cell r="AL371">
            <v>0</v>
          </cell>
        </row>
        <row r="372">
          <cell r="D372" t="str">
            <v>Vine Hill CDP</v>
          </cell>
          <cell r="Q372">
            <v>0</v>
          </cell>
          <cell r="R372">
            <v>0</v>
          </cell>
          <cell r="U372">
            <v>0</v>
          </cell>
          <cell r="V372">
            <v>0</v>
          </cell>
          <cell r="Y372">
            <v>0</v>
          </cell>
          <cell r="Z372">
            <v>0</v>
          </cell>
          <cell r="AC372">
            <v>0</v>
          </cell>
          <cell r="AD372">
            <v>0</v>
          </cell>
          <cell r="AG372">
            <v>0</v>
          </cell>
          <cell r="AH372">
            <v>0</v>
          </cell>
          <cell r="AK372">
            <v>0</v>
          </cell>
          <cell r="AL372">
            <v>0</v>
          </cell>
        </row>
        <row r="373">
          <cell r="D373" t="str">
            <v>Vine Hill CDP</v>
          </cell>
          <cell r="Q373">
            <v>0</v>
          </cell>
          <cell r="R373">
            <v>0</v>
          </cell>
          <cell r="U373">
            <v>0</v>
          </cell>
          <cell r="V373">
            <v>0</v>
          </cell>
          <cell r="Y373">
            <v>0</v>
          </cell>
          <cell r="Z373">
            <v>0</v>
          </cell>
          <cell r="AC373">
            <v>0</v>
          </cell>
          <cell r="AD373">
            <v>0</v>
          </cell>
          <cell r="AG373">
            <v>0</v>
          </cell>
          <cell r="AH373">
            <v>0</v>
          </cell>
          <cell r="AK373">
            <v>0</v>
          </cell>
          <cell r="AL373">
            <v>0</v>
          </cell>
        </row>
      </sheetData>
      <sheetData sheetId="11" refreshError="1"/>
      <sheetData sheetId="12" refreshError="1"/>
      <sheetData sheetId="13">
        <row r="2">
          <cell r="E2" t="str">
            <v>El Cerrito city</v>
          </cell>
          <cell r="I2">
            <v>2.2516656169450928</v>
          </cell>
          <cell r="J2">
            <v>4.7467545438301961</v>
          </cell>
        </row>
        <row r="3">
          <cell r="E3" t="str">
            <v>El Cerrito city</v>
          </cell>
          <cell r="I3">
            <v>1.0494848053612316</v>
          </cell>
          <cell r="J3">
            <v>1.9755008100917302</v>
          </cell>
        </row>
        <row r="4">
          <cell r="E4" t="str">
            <v>Hercules city</v>
          </cell>
          <cell r="I4">
            <v>5.0128253399917329</v>
          </cell>
          <cell r="J4">
            <v>16.571174415296412</v>
          </cell>
        </row>
        <row r="5">
          <cell r="E5" t="str">
            <v>Hercules city</v>
          </cell>
          <cell r="I5">
            <v>2.9673764898268078</v>
          </cell>
          <cell r="J5">
            <v>9.6565472211313068</v>
          </cell>
        </row>
        <row r="6">
          <cell r="E6" t="str">
            <v>Martinez city</v>
          </cell>
          <cell r="I6">
            <v>0</v>
          </cell>
          <cell r="J6">
            <v>0.68626086217007254</v>
          </cell>
        </row>
        <row r="7">
          <cell r="E7" t="str">
            <v>Montalvin Manor CDP</v>
          </cell>
          <cell r="I7">
            <v>0.54711685454312609</v>
          </cell>
          <cell r="J7">
            <v>2.1479402437619024</v>
          </cell>
        </row>
        <row r="8">
          <cell r="E8" t="str">
            <v>North Richmond CDP</v>
          </cell>
          <cell r="I8">
            <v>23.130687342557625</v>
          </cell>
          <cell r="J8">
            <v>67.894391624197922</v>
          </cell>
        </row>
        <row r="9">
          <cell r="E9" t="str">
            <v>North Richmond CDP</v>
          </cell>
          <cell r="I9">
            <v>31.196835331265767</v>
          </cell>
          <cell r="J9">
            <v>110.38880194140195</v>
          </cell>
        </row>
        <row r="10">
          <cell r="E10" t="str">
            <v>North Richmond CDP</v>
          </cell>
          <cell r="I10">
            <v>0.85329400250850174</v>
          </cell>
          <cell r="J10">
            <v>2.6665437578390678</v>
          </cell>
        </row>
        <row r="11">
          <cell r="E11" t="str">
            <v>North Richmond CDP</v>
          </cell>
          <cell r="I11">
            <v>28.999999999990401</v>
          </cell>
          <cell r="J11">
            <v>97.999999999967571</v>
          </cell>
        </row>
        <row r="12">
          <cell r="E12" t="str">
            <v>North Richmond CDP</v>
          </cell>
          <cell r="I12">
            <v>1.4255025703365247</v>
          </cell>
          <cell r="J12">
            <v>4.2765077110095744</v>
          </cell>
        </row>
        <row r="13">
          <cell r="E13" t="str">
            <v>North Richmond CDP</v>
          </cell>
          <cell r="I13">
            <v>18.999999999965656</v>
          </cell>
          <cell r="J13">
            <v>68.999999999875286</v>
          </cell>
        </row>
        <row r="14">
          <cell r="E14" t="str">
            <v>North Richmond CDP</v>
          </cell>
          <cell r="I14">
            <v>0.67490719734125704</v>
          </cell>
          <cell r="J14">
            <v>2.4154573378529198</v>
          </cell>
        </row>
        <row r="15">
          <cell r="E15" t="str">
            <v>North Richmond CDP</v>
          </cell>
          <cell r="I15">
            <v>15.477529846276965</v>
          </cell>
          <cell r="J15">
            <v>60.999676452973922</v>
          </cell>
        </row>
        <row r="16">
          <cell r="E16" t="str">
            <v>North Richmond CDP</v>
          </cell>
          <cell r="I16">
            <v>1.0874177184440807</v>
          </cell>
          <cell r="J16">
            <v>1.3219587949712355</v>
          </cell>
        </row>
        <row r="17">
          <cell r="E17" t="str">
            <v>North Richmond CDP</v>
          </cell>
          <cell r="I17">
            <v>0.82909935724577832</v>
          </cell>
          <cell r="J17">
            <v>2.5909354913930573</v>
          </cell>
        </row>
        <row r="18">
          <cell r="E18" t="str">
            <v>North Richmond CDP</v>
          </cell>
          <cell r="I18">
            <v>3.2521674207487457</v>
          </cell>
          <cell r="J18">
            <v>5.6611803250070762</v>
          </cell>
        </row>
        <row r="19">
          <cell r="E19" t="str">
            <v>North Richmond CDP</v>
          </cell>
          <cell r="I19">
            <v>11.498489179891864</v>
          </cell>
          <cell r="J19">
            <v>30.957470868939637</v>
          </cell>
        </row>
        <row r="20">
          <cell r="E20" t="str">
            <v>North Richmond CDP</v>
          </cell>
          <cell r="I20">
            <v>3.7055102133847795</v>
          </cell>
          <cell r="J20">
            <v>10.498945604590208</v>
          </cell>
        </row>
        <row r="21">
          <cell r="E21" t="str">
            <v>North Richmond CDP</v>
          </cell>
          <cell r="I21">
            <v>3.494567741814933</v>
          </cell>
          <cell r="J21">
            <v>4.5138166665109551</v>
          </cell>
        </row>
        <row r="22">
          <cell r="E22" t="str">
            <v>North Richmond CDP</v>
          </cell>
          <cell r="I22">
            <v>7.9999999999476241</v>
          </cell>
          <cell r="J22">
            <v>26.999999999823231</v>
          </cell>
        </row>
        <row r="23">
          <cell r="E23" t="str">
            <v>North Richmond CDP</v>
          </cell>
          <cell r="I23">
            <v>1.9391489176963927</v>
          </cell>
          <cell r="J23">
            <v>6.9809361037070143</v>
          </cell>
        </row>
        <row r="24">
          <cell r="E24" t="str">
            <v>North Richmond CDP</v>
          </cell>
          <cell r="I24">
            <v>11.000000000037732</v>
          </cell>
          <cell r="J24">
            <v>17.000000000058314</v>
          </cell>
        </row>
        <row r="25">
          <cell r="E25" t="str">
            <v>North Richmond CDP</v>
          </cell>
          <cell r="I25">
            <v>0.65333495370566164</v>
          </cell>
          <cell r="J25">
            <v>6.5333495370566164</v>
          </cell>
        </row>
        <row r="26">
          <cell r="E26" t="str">
            <v>North Richmond CDP</v>
          </cell>
          <cell r="I26">
            <v>3.672929774592006</v>
          </cell>
          <cell r="J26">
            <v>7.345859549184012</v>
          </cell>
        </row>
        <row r="27">
          <cell r="E27" t="str">
            <v>North Richmond CDP</v>
          </cell>
          <cell r="I27">
            <v>8.5994313166358138E-2</v>
          </cell>
          <cell r="J27">
            <v>0.68795450533086511</v>
          </cell>
        </row>
        <row r="28">
          <cell r="E28" t="str">
            <v>Pinole city</v>
          </cell>
          <cell r="I28">
            <v>1.8438513646049395</v>
          </cell>
          <cell r="J28">
            <v>5.0193731592023347</v>
          </cell>
        </row>
        <row r="29">
          <cell r="E29" t="str">
            <v>Richmond city</v>
          </cell>
          <cell r="I29">
            <v>3.1184736297574003</v>
          </cell>
          <cell r="J29">
            <v>36.574690719376918</v>
          </cell>
        </row>
        <row r="30">
          <cell r="E30" t="str">
            <v>Richmond city</v>
          </cell>
          <cell r="I30">
            <v>2.9709450755460827</v>
          </cell>
          <cell r="J30">
            <v>5.4193621227297895</v>
          </cell>
        </row>
        <row r="31">
          <cell r="E31" t="str">
            <v>Richmond city</v>
          </cell>
          <cell r="I31">
            <v>102.32357568721397</v>
          </cell>
          <cell r="J31">
            <v>250.4572877699589</v>
          </cell>
        </row>
        <row r="32">
          <cell r="E32" t="str">
            <v>Richmond city</v>
          </cell>
          <cell r="I32">
            <v>23.951299142573816</v>
          </cell>
          <cell r="J32">
            <v>37.922890309075207</v>
          </cell>
        </row>
        <row r="33">
          <cell r="E33" t="str">
            <v>Richmond city</v>
          </cell>
          <cell r="I33">
            <v>24.245314681169752</v>
          </cell>
          <cell r="J33">
            <v>76.622597542017388</v>
          </cell>
        </row>
        <row r="34">
          <cell r="E34" t="str">
            <v>Richmond city</v>
          </cell>
          <cell r="I34">
            <v>1.1575829575176139E-3</v>
          </cell>
          <cell r="J34">
            <v>1.952136940192426E-3</v>
          </cell>
        </row>
        <row r="35">
          <cell r="E35" t="str">
            <v>Richmond city</v>
          </cell>
          <cell r="I35">
            <v>15.742733888871497</v>
          </cell>
          <cell r="J35">
            <v>29.70997147448681</v>
          </cell>
        </row>
        <row r="36">
          <cell r="E36" t="str">
            <v>Richmond city</v>
          </cell>
          <cell r="I36">
            <v>35.272571115431596</v>
          </cell>
          <cell r="J36">
            <v>80.680938528401001</v>
          </cell>
        </row>
        <row r="37">
          <cell r="E37" t="str">
            <v>Richmond city</v>
          </cell>
          <cell r="I37">
            <v>2.1335131361795225</v>
          </cell>
          <cell r="J37">
            <v>7.4246257139047387</v>
          </cell>
        </row>
        <row r="38">
          <cell r="E38" t="str">
            <v>Richmond city</v>
          </cell>
          <cell r="I38">
            <v>42.420449050706175</v>
          </cell>
          <cell r="J38">
            <v>84.323575552013494</v>
          </cell>
        </row>
        <row r="39">
          <cell r="E39" t="str">
            <v>Richmond city</v>
          </cell>
          <cell r="I39">
            <v>8.2449694945745211</v>
          </cell>
          <cell r="J39">
            <v>26.10907006615265</v>
          </cell>
        </row>
        <row r="40">
          <cell r="E40" t="str">
            <v>Richmond city</v>
          </cell>
          <cell r="I40">
            <v>5.0697302708449818</v>
          </cell>
          <cell r="J40">
            <v>8.519963371836706</v>
          </cell>
        </row>
        <row r="41">
          <cell r="E41" t="str">
            <v>Richmond city</v>
          </cell>
          <cell r="I41">
            <v>9.1209906742577456</v>
          </cell>
          <cell r="J41">
            <v>24.158299623709702</v>
          </cell>
        </row>
        <row r="42">
          <cell r="E42" t="str">
            <v>Richmond city</v>
          </cell>
          <cell r="I42">
            <v>27.942058150131899</v>
          </cell>
          <cell r="J42">
            <v>89.414586080422083</v>
          </cell>
        </row>
        <row r="43">
          <cell r="E43" t="str">
            <v>Richmond city</v>
          </cell>
          <cell r="I43">
            <v>2.7950702027713401</v>
          </cell>
          <cell r="J43">
            <v>5.5235911150005048</v>
          </cell>
        </row>
        <row r="44">
          <cell r="E44" t="str">
            <v>Richmond city</v>
          </cell>
          <cell r="I44">
            <v>31.000000000449077</v>
          </cell>
          <cell r="J44">
            <v>75.000000001086477</v>
          </cell>
        </row>
        <row r="45">
          <cell r="E45" t="str">
            <v>Richmond city</v>
          </cell>
          <cell r="I45">
            <v>0.84400236690583652</v>
          </cell>
          <cell r="J45">
            <v>2.9339129897202887</v>
          </cell>
        </row>
        <row r="46">
          <cell r="E46" t="str">
            <v>Richmond city</v>
          </cell>
          <cell r="I46">
            <v>4.513832413277215</v>
          </cell>
          <cell r="J46">
            <v>16.024105067134112</v>
          </cell>
        </row>
        <row r="47">
          <cell r="E47" t="str">
            <v>Richmond city</v>
          </cell>
          <cell r="I47">
            <v>6.3133799741422632</v>
          </cell>
          <cell r="J47">
            <v>17.172393529666955</v>
          </cell>
        </row>
        <row r="48">
          <cell r="E48" t="str">
            <v>Richmond city</v>
          </cell>
          <cell r="I48">
            <v>1.5137253582996344</v>
          </cell>
          <cell r="J48">
            <v>4.6853403947369632</v>
          </cell>
        </row>
        <row r="49">
          <cell r="E49" t="str">
            <v>Richmond city</v>
          </cell>
          <cell r="I49">
            <v>0.84610812433566718</v>
          </cell>
          <cell r="J49">
            <v>2.9143724282672978</v>
          </cell>
        </row>
        <row r="50">
          <cell r="E50" t="str">
            <v>Richmond city</v>
          </cell>
          <cell r="I50">
            <v>0.38811823503609555</v>
          </cell>
          <cell r="J50">
            <v>1.2937274501203184</v>
          </cell>
        </row>
        <row r="51">
          <cell r="E51" t="str">
            <v>Richmond city</v>
          </cell>
          <cell r="I51">
            <v>10.191878352863682</v>
          </cell>
          <cell r="J51">
            <v>12.739847941079603</v>
          </cell>
        </row>
        <row r="52">
          <cell r="E52" t="str">
            <v>Richmond city</v>
          </cell>
          <cell r="I52">
            <v>1.6399406129117453</v>
          </cell>
          <cell r="J52">
            <v>3.5141584562394543</v>
          </cell>
        </row>
        <row r="53">
          <cell r="E53" t="str">
            <v>Richmond city</v>
          </cell>
          <cell r="I53">
            <v>0.38263138277110653</v>
          </cell>
          <cell r="J53">
            <v>1.4795080133816119</v>
          </cell>
        </row>
        <row r="54">
          <cell r="E54" t="str">
            <v>Richmond city</v>
          </cell>
          <cell r="I54">
            <v>4.3847020544657322</v>
          </cell>
          <cell r="J54">
            <v>8.4186279445742045</v>
          </cell>
        </row>
        <row r="55">
          <cell r="E55" t="str">
            <v>Richmond city</v>
          </cell>
          <cell r="I55">
            <v>0.86833881466587992</v>
          </cell>
          <cell r="J55">
            <v>1.8156175215741126</v>
          </cell>
        </row>
        <row r="56">
          <cell r="E56" t="str">
            <v>Richmond city</v>
          </cell>
          <cell r="I56">
            <v>5.5051899922782157</v>
          </cell>
          <cell r="J56">
            <v>16.122342120243346</v>
          </cell>
        </row>
        <row r="57">
          <cell r="E57" t="str">
            <v>Richmond city</v>
          </cell>
          <cell r="I57">
            <v>8.3559319765137183E-2</v>
          </cell>
          <cell r="J57">
            <v>0.15120257862262917</v>
          </cell>
        </row>
        <row r="58">
          <cell r="E58" t="str">
            <v>Richmond city</v>
          </cell>
          <cell r="I58">
            <v>4.4084378733671095</v>
          </cell>
          <cell r="J58">
            <v>6.7963417214409612</v>
          </cell>
        </row>
        <row r="59">
          <cell r="E59" t="str">
            <v>Richmond city</v>
          </cell>
          <cell r="I59">
            <v>6.7969687243954263E-4</v>
          </cell>
          <cell r="J59">
            <v>1.3593937448790853E-3</v>
          </cell>
        </row>
        <row r="60">
          <cell r="E60" t="str">
            <v>Richmond city</v>
          </cell>
          <cell r="I60">
            <v>1.8342066401397825</v>
          </cell>
          <cell r="J60">
            <v>8.2539298806290216</v>
          </cell>
        </row>
        <row r="61">
          <cell r="E61" t="str">
            <v>Richmond city</v>
          </cell>
          <cell r="I61">
            <v>4.1207181716522767E-2</v>
          </cell>
          <cell r="J61">
            <v>9.6150090671886457E-2</v>
          </cell>
        </row>
        <row r="62">
          <cell r="E62" t="str">
            <v>Richmond city</v>
          </cell>
          <cell r="I62">
            <v>0.44257760511720501</v>
          </cell>
          <cell r="J62">
            <v>1.77031042046882</v>
          </cell>
        </row>
        <row r="63">
          <cell r="E63" t="str">
            <v>Richmond city</v>
          </cell>
          <cell r="I63">
            <v>0</v>
          </cell>
          <cell r="J63">
            <v>8.6961815995221639E-2</v>
          </cell>
        </row>
        <row r="64">
          <cell r="E64" t="str">
            <v>Richmond city</v>
          </cell>
          <cell r="I64">
            <v>2.1978785860038447E-2</v>
          </cell>
          <cell r="J64">
            <v>2.1978785860038447E-2</v>
          </cell>
        </row>
        <row r="65">
          <cell r="E65" t="str">
            <v>Richmond city</v>
          </cell>
          <cell r="I65">
            <v>0</v>
          </cell>
          <cell r="J65">
            <v>0.10779120252198438</v>
          </cell>
        </row>
        <row r="66">
          <cell r="E66" t="str">
            <v>Richmond city</v>
          </cell>
          <cell r="I66">
            <v>4.0884082451049998E-2</v>
          </cell>
          <cell r="J66">
            <v>4.0884082451049998E-2</v>
          </cell>
        </row>
        <row r="67">
          <cell r="E67" t="str">
            <v>Richmond city</v>
          </cell>
          <cell r="I67">
            <v>0</v>
          </cell>
          <cell r="J67">
            <v>5.63808230837432E-3</v>
          </cell>
        </row>
        <row r="68">
          <cell r="E68" t="str">
            <v>Rodeo CDP</v>
          </cell>
          <cell r="I68">
            <v>0</v>
          </cell>
          <cell r="J68">
            <v>0.13509333134241278</v>
          </cell>
        </row>
        <row r="69">
          <cell r="E69" t="str">
            <v xml:space="preserve"> </v>
          </cell>
          <cell r="I69">
            <v>0</v>
          </cell>
          <cell r="J69">
            <v>0</v>
          </cell>
        </row>
        <row r="70">
          <cell r="E70" t="str">
            <v xml:space="preserve"> </v>
          </cell>
          <cell r="I70">
            <v>0</v>
          </cell>
          <cell r="J70">
            <v>0</v>
          </cell>
        </row>
        <row r="71">
          <cell r="E71" t="str">
            <v xml:space="preserve"> </v>
          </cell>
          <cell r="I71">
            <v>0</v>
          </cell>
          <cell r="J71">
            <v>0</v>
          </cell>
        </row>
        <row r="72">
          <cell r="E72" t="str">
            <v xml:space="preserve"> </v>
          </cell>
          <cell r="I72">
            <v>0</v>
          </cell>
          <cell r="J72">
            <v>0</v>
          </cell>
        </row>
        <row r="73">
          <cell r="E73" t="str">
            <v xml:space="preserve"> </v>
          </cell>
          <cell r="I73">
            <v>0</v>
          </cell>
          <cell r="J73">
            <v>0</v>
          </cell>
        </row>
        <row r="74">
          <cell r="E74" t="str">
            <v xml:space="preserve"> </v>
          </cell>
          <cell r="I74">
            <v>0</v>
          </cell>
          <cell r="J74">
            <v>0</v>
          </cell>
        </row>
        <row r="75">
          <cell r="E75" t="str">
            <v xml:space="preserve"> </v>
          </cell>
          <cell r="I75">
            <v>0</v>
          </cell>
          <cell r="J75">
            <v>0</v>
          </cell>
        </row>
        <row r="76">
          <cell r="E76" t="str">
            <v xml:space="preserve"> </v>
          </cell>
          <cell r="I76">
            <v>0</v>
          </cell>
          <cell r="J76">
            <v>0</v>
          </cell>
        </row>
        <row r="77">
          <cell r="E77" t="str">
            <v xml:space="preserve"> </v>
          </cell>
          <cell r="I77">
            <v>0</v>
          </cell>
          <cell r="J77">
            <v>0</v>
          </cell>
        </row>
        <row r="78">
          <cell r="E78" t="str">
            <v xml:space="preserve"> </v>
          </cell>
          <cell r="I78">
            <v>0</v>
          </cell>
          <cell r="J78">
            <v>0</v>
          </cell>
        </row>
        <row r="79">
          <cell r="E79" t="str">
            <v xml:space="preserve"> </v>
          </cell>
          <cell r="I79">
            <v>0</v>
          </cell>
          <cell r="J79">
            <v>0</v>
          </cell>
        </row>
        <row r="80">
          <cell r="E80" t="str">
            <v xml:space="preserve"> </v>
          </cell>
          <cell r="I80">
            <v>0</v>
          </cell>
          <cell r="J80">
            <v>0</v>
          </cell>
        </row>
        <row r="81">
          <cell r="E81" t="str">
            <v xml:space="preserve"> </v>
          </cell>
          <cell r="I81">
            <v>0</v>
          </cell>
          <cell r="J81">
            <v>0</v>
          </cell>
        </row>
        <row r="82">
          <cell r="E82" t="str">
            <v xml:space="preserve"> </v>
          </cell>
          <cell r="I82">
            <v>0</v>
          </cell>
          <cell r="J82">
            <v>0</v>
          </cell>
        </row>
        <row r="83">
          <cell r="E83" t="str">
            <v xml:space="preserve"> </v>
          </cell>
          <cell r="I83">
            <v>0</v>
          </cell>
          <cell r="J83">
            <v>0</v>
          </cell>
        </row>
        <row r="84">
          <cell r="E84" t="str">
            <v xml:space="preserve"> </v>
          </cell>
          <cell r="I84">
            <v>0</v>
          </cell>
          <cell r="J84">
            <v>0</v>
          </cell>
        </row>
        <row r="85">
          <cell r="E85" t="str">
            <v>Bay Point CDP</v>
          </cell>
          <cell r="I85">
            <v>0</v>
          </cell>
          <cell r="J85">
            <v>0</v>
          </cell>
        </row>
        <row r="86">
          <cell r="E86" t="str">
            <v>Bay Point CDP</v>
          </cell>
          <cell r="I86">
            <v>0</v>
          </cell>
          <cell r="J86">
            <v>0</v>
          </cell>
        </row>
        <row r="87">
          <cell r="E87" t="str">
            <v>El Cerrito city</v>
          </cell>
          <cell r="I87">
            <v>0</v>
          </cell>
          <cell r="J87">
            <v>0</v>
          </cell>
        </row>
        <row r="88">
          <cell r="E88" t="str">
            <v>Martinez city</v>
          </cell>
          <cell r="I88">
            <v>0</v>
          </cell>
          <cell r="J88">
            <v>0</v>
          </cell>
        </row>
        <row r="89">
          <cell r="E89" t="str">
            <v>Martinez city</v>
          </cell>
          <cell r="I89">
            <v>0</v>
          </cell>
          <cell r="J89">
            <v>0</v>
          </cell>
        </row>
        <row r="90">
          <cell r="E90" t="str">
            <v>Martinez city</v>
          </cell>
          <cell r="I90">
            <v>0</v>
          </cell>
          <cell r="J90">
            <v>0</v>
          </cell>
        </row>
        <row r="91">
          <cell r="E91" t="str">
            <v>Montalvin Manor CDP</v>
          </cell>
          <cell r="I91">
            <v>0</v>
          </cell>
          <cell r="J91">
            <v>0</v>
          </cell>
        </row>
        <row r="92">
          <cell r="E92" t="str">
            <v>North Richmond CDP</v>
          </cell>
          <cell r="I92">
            <v>0</v>
          </cell>
          <cell r="J92">
            <v>0</v>
          </cell>
        </row>
        <row r="93">
          <cell r="E93" t="str">
            <v>North Richmond CDP</v>
          </cell>
          <cell r="I93">
            <v>0</v>
          </cell>
          <cell r="J93">
            <v>0</v>
          </cell>
        </row>
        <row r="94">
          <cell r="E94" t="str">
            <v>North Richmond CDP</v>
          </cell>
          <cell r="I94">
            <v>0</v>
          </cell>
          <cell r="J94">
            <v>0</v>
          </cell>
        </row>
        <row r="95">
          <cell r="E95" t="str">
            <v>North Richmond CDP</v>
          </cell>
          <cell r="I95">
            <v>0</v>
          </cell>
          <cell r="J95">
            <v>0</v>
          </cell>
        </row>
        <row r="96">
          <cell r="E96" t="str">
            <v>North Richmond CDP</v>
          </cell>
          <cell r="I96">
            <v>0</v>
          </cell>
          <cell r="J96">
            <v>0</v>
          </cell>
        </row>
        <row r="97">
          <cell r="E97" t="str">
            <v>North Richmond CDP</v>
          </cell>
          <cell r="I97">
            <v>0</v>
          </cell>
          <cell r="J97">
            <v>0</v>
          </cell>
        </row>
        <row r="98">
          <cell r="E98" t="str">
            <v>North Richmond CDP</v>
          </cell>
          <cell r="I98">
            <v>0</v>
          </cell>
          <cell r="J98">
            <v>0</v>
          </cell>
        </row>
        <row r="99">
          <cell r="E99" t="str">
            <v>Richmond city</v>
          </cell>
          <cell r="I99">
            <v>0</v>
          </cell>
          <cell r="J99">
            <v>0</v>
          </cell>
        </row>
        <row r="100">
          <cell r="E100" t="str">
            <v>Richmond city</v>
          </cell>
          <cell r="I100">
            <v>0</v>
          </cell>
          <cell r="J100">
            <v>0</v>
          </cell>
        </row>
        <row r="101">
          <cell r="E101" t="str">
            <v>Richmond city</v>
          </cell>
          <cell r="I101">
            <v>0</v>
          </cell>
          <cell r="J101">
            <v>0</v>
          </cell>
        </row>
        <row r="102">
          <cell r="E102" t="str">
            <v>Richmond city</v>
          </cell>
          <cell r="I102">
            <v>0</v>
          </cell>
          <cell r="J102">
            <v>0</v>
          </cell>
        </row>
        <row r="103">
          <cell r="E103" t="str">
            <v>Richmond city</v>
          </cell>
          <cell r="I103">
            <v>0</v>
          </cell>
          <cell r="J103">
            <v>0</v>
          </cell>
        </row>
        <row r="104">
          <cell r="E104" t="str">
            <v>Richmond city</v>
          </cell>
          <cell r="I104">
            <v>0</v>
          </cell>
          <cell r="J104">
            <v>0</v>
          </cell>
        </row>
        <row r="105">
          <cell r="E105" t="str">
            <v>Richmond city</v>
          </cell>
          <cell r="I105">
            <v>0</v>
          </cell>
          <cell r="J105">
            <v>0</v>
          </cell>
        </row>
        <row r="106">
          <cell r="E106" t="str">
            <v>Richmond city</v>
          </cell>
          <cell r="I106">
            <v>0</v>
          </cell>
          <cell r="J106">
            <v>0</v>
          </cell>
        </row>
        <row r="107">
          <cell r="E107" t="str">
            <v>Richmond city</v>
          </cell>
          <cell r="I107">
            <v>0</v>
          </cell>
          <cell r="J107">
            <v>0</v>
          </cell>
        </row>
        <row r="108">
          <cell r="E108" t="str">
            <v>Richmond city</v>
          </cell>
          <cell r="I108">
            <v>0</v>
          </cell>
          <cell r="J108">
            <v>0</v>
          </cell>
        </row>
        <row r="109">
          <cell r="E109" t="str">
            <v>Richmond city</v>
          </cell>
          <cell r="I109">
            <v>0</v>
          </cell>
          <cell r="J109">
            <v>0</v>
          </cell>
        </row>
        <row r="110">
          <cell r="E110" t="str">
            <v>Richmond city</v>
          </cell>
          <cell r="I110">
            <v>0</v>
          </cell>
          <cell r="J110">
            <v>0</v>
          </cell>
        </row>
        <row r="111">
          <cell r="E111" t="str">
            <v>Richmond city</v>
          </cell>
          <cell r="I111">
            <v>0</v>
          </cell>
          <cell r="J111">
            <v>0</v>
          </cell>
        </row>
        <row r="112">
          <cell r="E112" t="str">
            <v>Richmond city</v>
          </cell>
          <cell r="I112">
            <v>0</v>
          </cell>
          <cell r="J112">
            <v>0</v>
          </cell>
        </row>
        <row r="113">
          <cell r="E113" t="str">
            <v>Richmond city</v>
          </cell>
          <cell r="I113">
            <v>0</v>
          </cell>
          <cell r="J113">
            <v>0</v>
          </cell>
        </row>
        <row r="114">
          <cell r="E114" t="str">
            <v>Richmond city</v>
          </cell>
          <cell r="I114">
            <v>0</v>
          </cell>
          <cell r="J114">
            <v>0</v>
          </cell>
        </row>
        <row r="115">
          <cell r="E115" t="str">
            <v>Richmond city</v>
          </cell>
          <cell r="I115">
            <v>0</v>
          </cell>
          <cell r="J115">
            <v>0</v>
          </cell>
        </row>
        <row r="116">
          <cell r="E116" t="str">
            <v>Richmond city</v>
          </cell>
          <cell r="I116">
            <v>0</v>
          </cell>
          <cell r="J116">
            <v>0</v>
          </cell>
        </row>
        <row r="117">
          <cell r="E117" t="str">
            <v>Richmond city</v>
          </cell>
          <cell r="I117">
            <v>0</v>
          </cell>
          <cell r="J117">
            <v>0</v>
          </cell>
        </row>
        <row r="118">
          <cell r="E118" t="str">
            <v>Richmond city</v>
          </cell>
          <cell r="I118">
            <v>0</v>
          </cell>
          <cell r="J118">
            <v>0</v>
          </cell>
        </row>
        <row r="119">
          <cell r="E119" t="str">
            <v>Richmond city</v>
          </cell>
          <cell r="I119">
            <v>0</v>
          </cell>
          <cell r="J119">
            <v>0</v>
          </cell>
        </row>
        <row r="120">
          <cell r="E120" t="str">
            <v>Richmond city</v>
          </cell>
          <cell r="I120">
            <v>0</v>
          </cell>
          <cell r="J120">
            <v>0</v>
          </cell>
        </row>
        <row r="121">
          <cell r="E121" t="str">
            <v>Richmond city</v>
          </cell>
          <cell r="I121">
            <v>0</v>
          </cell>
          <cell r="J121">
            <v>0</v>
          </cell>
        </row>
        <row r="122">
          <cell r="E122" t="str">
            <v>Richmond city</v>
          </cell>
          <cell r="I122">
            <v>0</v>
          </cell>
          <cell r="J122">
            <v>0</v>
          </cell>
        </row>
        <row r="123">
          <cell r="E123" t="str">
            <v>Richmond city</v>
          </cell>
          <cell r="I123">
            <v>0</v>
          </cell>
          <cell r="J123">
            <v>0</v>
          </cell>
        </row>
        <row r="124">
          <cell r="E124" t="str">
            <v>Richmond city</v>
          </cell>
          <cell r="I124">
            <v>0</v>
          </cell>
          <cell r="J124">
            <v>0</v>
          </cell>
        </row>
        <row r="125">
          <cell r="E125" t="str">
            <v>Richmond city</v>
          </cell>
          <cell r="I125">
            <v>0</v>
          </cell>
          <cell r="J125">
            <v>0</v>
          </cell>
        </row>
        <row r="126">
          <cell r="E126" t="str">
            <v>Richmond city</v>
          </cell>
          <cell r="I126">
            <v>0</v>
          </cell>
          <cell r="J126">
            <v>0</v>
          </cell>
        </row>
        <row r="127">
          <cell r="E127" t="str">
            <v>Richmond city</v>
          </cell>
          <cell r="I127">
            <v>0</v>
          </cell>
          <cell r="J127">
            <v>0</v>
          </cell>
        </row>
        <row r="128">
          <cell r="E128" t="str">
            <v>Richmond city</v>
          </cell>
          <cell r="I128">
            <v>0</v>
          </cell>
          <cell r="J128">
            <v>0</v>
          </cell>
        </row>
        <row r="129">
          <cell r="E129" t="str">
            <v>Richmond city</v>
          </cell>
          <cell r="I129">
            <v>0</v>
          </cell>
          <cell r="J129">
            <v>0</v>
          </cell>
        </row>
        <row r="130">
          <cell r="E130" t="str">
            <v>Richmond city</v>
          </cell>
          <cell r="I130">
            <v>0</v>
          </cell>
          <cell r="J130">
            <v>0</v>
          </cell>
        </row>
        <row r="131">
          <cell r="E131" t="str">
            <v>Rodeo CDP</v>
          </cell>
          <cell r="I131">
            <v>0</v>
          </cell>
          <cell r="J1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ustrial Tally"/>
      <sheetName val="Industrial Summary"/>
      <sheetName val="IndustrialExposure-shrt fields"/>
      <sheetName val="IndustrialExposure-all fields"/>
      <sheetName val="Sheet1"/>
      <sheetName val="Sheet2"/>
    </sheetNames>
    <sheetDataSet>
      <sheetData sheetId="0" refreshError="1"/>
      <sheetData sheetId="1" refreshError="1"/>
      <sheetData sheetId="2">
        <row r="1">
          <cell r="U1" t="str">
            <v>USEDESC</v>
          </cell>
          <cell r="AD1" t="str">
            <v>Rise</v>
          </cell>
          <cell r="AE1" t="str">
            <v>LLSLR</v>
          </cell>
          <cell r="AG1" t="str">
            <v>Acreage Calc</v>
          </cell>
          <cell r="AH1" t="str">
            <v>Inundation Category</v>
          </cell>
        </row>
        <row r="2">
          <cell r="U2" t="str">
            <v>Heavy industrial</v>
          </cell>
          <cell r="AD2">
            <v>10</v>
          </cell>
          <cell r="AE2">
            <v>6</v>
          </cell>
          <cell r="AG2">
            <v>2.3990889180440771</v>
          </cell>
          <cell r="AH2" t="str">
            <v>FZ no SLR</v>
          </cell>
        </row>
        <row r="3">
          <cell r="U3" t="str">
            <v>Heavy industrial</v>
          </cell>
          <cell r="AD3">
            <v>10</v>
          </cell>
          <cell r="AE3">
            <v>6</v>
          </cell>
          <cell r="AG3">
            <v>11.938630968480256</v>
          </cell>
          <cell r="AH3" t="str">
            <v>FZ no SLR</v>
          </cell>
        </row>
        <row r="4">
          <cell r="U4" t="str">
            <v>Heavy industrial</v>
          </cell>
          <cell r="AD4">
            <v>0</v>
          </cell>
          <cell r="AE4">
            <v>3</v>
          </cell>
          <cell r="AG4">
            <v>138.01823300275481</v>
          </cell>
          <cell r="AH4" t="str">
            <v>FZ with SLR</v>
          </cell>
        </row>
        <row r="5">
          <cell r="U5" t="str">
            <v>Heavy industrial</v>
          </cell>
          <cell r="AD5">
            <v>0</v>
          </cell>
          <cell r="AE5">
            <v>10</v>
          </cell>
          <cell r="AG5">
            <v>1.3722879668273644</v>
          </cell>
          <cell r="AH5" t="str">
            <v>FZ with SLR</v>
          </cell>
        </row>
        <row r="6">
          <cell r="U6" t="str">
            <v>Heavy industrial</v>
          </cell>
          <cell r="AD6">
            <v>5</v>
          </cell>
          <cell r="AE6">
            <v>10</v>
          </cell>
          <cell r="AG6">
            <v>1.4965233805532598</v>
          </cell>
          <cell r="AH6" t="str">
            <v>SLR not in FZ</v>
          </cell>
        </row>
        <row r="7">
          <cell r="U7" t="str">
            <v>Heavy industrial</v>
          </cell>
          <cell r="AD7">
            <v>0</v>
          </cell>
          <cell r="AE7">
            <v>10</v>
          </cell>
          <cell r="AG7">
            <v>75.986375641414142</v>
          </cell>
          <cell r="AH7" t="str">
            <v>FZ with SLR</v>
          </cell>
        </row>
        <row r="8">
          <cell r="U8" t="str">
            <v>Heavy industrial</v>
          </cell>
          <cell r="AD8">
            <v>0</v>
          </cell>
          <cell r="AE8">
            <v>2</v>
          </cell>
          <cell r="AG8">
            <v>148.91834710445363</v>
          </cell>
          <cell r="AH8" t="str">
            <v>FZ with SLR</v>
          </cell>
        </row>
        <row r="9">
          <cell r="U9" t="str">
            <v>Heavy industrial</v>
          </cell>
          <cell r="AD9">
            <v>0</v>
          </cell>
          <cell r="AE9">
            <v>6</v>
          </cell>
          <cell r="AG9">
            <v>214.23353754797981</v>
          </cell>
          <cell r="AH9" t="str">
            <v>FZ with SLR</v>
          </cell>
        </row>
        <row r="10">
          <cell r="U10" t="str">
            <v>Heavy industrial</v>
          </cell>
          <cell r="AD10">
            <v>4</v>
          </cell>
          <cell r="AE10">
            <v>3</v>
          </cell>
          <cell r="AG10">
            <v>4.8833451339531679</v>
          </cell>
          <cell r="AH10" t="str">
            <v>SLR not in FZ</v>
          </cell>
        </row>
        <row r="11">
          <cell r="U11" t="str">
            <v>Heavy industrial</v>
          </cell>
          <cell r="AD11">
            <v>5</v>
          </cell>
          <cell r="AE11">
            <v>10</v>
          </cell>
          <cell r="AG11">
            <v>0.56822495882001833</v>
          </cell>
          <cell r="AH11" t="str">
            <v>SLR not in FZ</v>
          </cell>
        </row>
        <row r="12">
          <cell r="U12" t="str">
            <v>Heavy industrial</v>
          </cell>
          <cell r="AD12">
            <v>0</v>
          </cell>
          <cell r="AE12">
            <v>6</v>
          </cell>
          <cell r="AG12">
            <v>47.142760545224981</v>
          </cell>
          <cell r="AH12" t="str">
            <v>FZ with SLR</v>
          </cell>
        </row>
        <row r="13">
          <cell r="U13" t="str">
            <v>Industrial Park (with structures)</v>
          </cell>
          <cell r="AD13">
            <v>5</v>
          </cell>
          <cell r="AE13">
            <v>10</v>
          </cell>
          <cell r="AG13">
            <v>1.2371018990449956</v>
          </cell>
          <cell r="AH13" t="str">
            <v>SLR not in FZ</v>
          </cell>
        </row>
        <row r="14">
          <cell r="U14" t="str">
            <v>Industrial Park (with structures)</v>
          </cell>
          <cell r="AD14">
            <v>5</v>
          </cell>
          <cell r="AE14">
            <v>4</v>
          </cell>
          <cell r="AG14">
            <v>1.1949726428604224</v>
          </cell>
          <cell r="AH14" t="str">
            <v>SLR not in FZ</v>
          </cell>
        </row>
        <row r="15">
          <cell r="U15" t="str">
            <v>Industrial Park (with structures)</v>
          </cell>
          <cell r="AD15">
            <v>5</v>
          </cell>
          <cell r="AE15">
            <v>10</v>
          </cell>
          <cell r="AG15">
            <v>1.6761528094559228</v>
          </cell>
          <cell r="AH15" t="str">
            <v>SLR not in FZ</v>
          </cell>
        </row>
        <row r="16">
          <cell r="U16" t="str">
            <v>Industrial Park (with structures)</v>
          </cell>
          <cell r="AD16">
            <v>5</v>
          </cell>
          <cell r="AE16">
            <v>4</v>
          </cell>
          <cell r="AG16">
            <v>1.7028736278443526</v>
          </cell>
          <cell r="AH16" t="str">
            <v>SLR not in FZ</v>
          </cell>
        </row>
        <row r="17">
          <cell r="U17" t="str">
            <v>Heavy industrial</v>
          </cell>
          <cell r="AD17">
            <v>0</v>
          </cell>
          <cell r="AE17">
            <v>3</v>
          </cell>
          <cell r="AG17">
            <v>5.1071776895087231</v>
          </cell>
          <cell r="AH17" t="str">
            <v>FZ with SLR</v>
          </cell>
        </row>
        <row r="18">
          <cell r="U18" t="str">
            <v>Heavy industrial</v>
          </cell>
          <cell r="AD18">
            <v>0</v>
          </cell>
          <cell r="AE18">
            <v>3</v>
          </cell>
          <cell r="AG18">
            <v>3.7976060294077136</v>
          </cell>
          <cell r="AH18" t="str">
            <v>FZ with SLR</v>
          </cell>
        </row>
        <row r="19">
          <cell r="U19" t="str">
            <v>Heavy industrial</v>
          </cell>
          <cell r="AD19">
            <v>3</v>
          </cell>
          <cell r="AE19">
            <v>10</v>
          </cell>
          <cell r="AG19">
            <v>13.452942091873279</v>
          </cell>
          <cell r="AH19" t="str">
            <v>FZ with SLR</v>
          </cell>
        </row>
        <row r="20">
          <cell r="U20" t="str">
            <v>Heavy industrial</v>
          </cell>
          <cell r="AD20">
            <v>3</v>
          </cell>
          <cell r="AE20">
            <v>10</v>
          </cell>
          <cell r="AG20">
            <v>1.9936586101675848</v>
          </cell>
          <cell r="AH20" t="str">
            <v>FZ with SLR</v>
          </cell>
        </row>
        <row r="21">
          <cell r="U21" t="str">
            <v>Heavy industrial</v>
          </cell>
          <cell r="AD21">
            <v>4</v>
          </cell>
          <cell r="AE21">
            <v>10</v>
          </cell>
          <cell r="AG21">
            <v>1.8609158341873278</v>
          </cell>
          <cell r="AH21" t="str">
            <v>FZ with SLR</v>
          </cell>
        </row>
        <row r="22">
          <cell r="U22" t="str">
            <v>Heavy industrial</v>
          </cell>
          <cell r="AD22">
            <v>4</v>
          </cell>
          <cell r="AE22">
            <v>10</v>
          </cell>
          <cell r="AG22">
            <v>10.670090907828284</v>
          </cell>
          <cell r="AH22" t="str">
            <v>FZ with SLR</v>
          </cell>
        </row>
        <row r="23">
          <cell r="U23" t="str">
            <v>Heavy industrial</v>
          </cell>
          <cell r="AD23">
            <v>10</v>
          </cell>
          <cell r="AE23">
            <v>10</v>
          </cell>
          <cell r="AG23">
            <v>9.7466712550505044</v>
          </cell>
          <cell r="AH23" t="str">
            <v>FZ no SLR</v>
          </cell>
        </row>
        <row r="24">
          <cell r="U24" t="str">
            <v>Heavy industrial</v>
          </cell>
          <cell r="AD24">
            <v>6</v>
          </cell>
          <cell r="AE24">
            <v>10</v>
          </cell>
          <cell r="AG24">
            <v>10.865578723415979</v>
          </cell>
          <cell r="AH24" t="str">
            <v>FZ with SLR</v>
          </cell>
        </row>
        <row r="25">
          <cell r="U25" t="str">
            <v>Heavy industrial</v>
          </cell>
          <cell r="AD25">
            <v>0</v>
          </cell>
          <cell r="AE25">
            <v>5</v>
          </cell>
          <cell r="AG25">
            <v>114.61511126400367</v>
          </cell>
          <cell r="AH25" t="str">
            <v>FZ with SLR</v>
          </cell>
        </row>
        <row r="26">
          <cell r="U26" t="str">
            <v>Heavy industrial</v>
          </cell>
          <cell r="AD26">
            <v>0</v>
          </cell>
          <cell r="AE26">
            <v>5</v>
          </cell>
          <cell r="AG26">
            <v>206.41325796464645</v>
          </cell>
          <cell r="AH26" t="str">
            <v>FZ with SLR</v>
          </cell>
        </row>
        <row r="27">
          <cell r="U27" t="str">
            <v>Heavy industrial</v>
          </cell>
          <cell r="AD27">
            <v>1</v>
          </cell>
          <cell r="AE27">
            <v>5</v>
          </cell>
          <cell r="AG27">
            <v>40.184819906795227</v>
          </cell>
          <cell r="AH27" t="str">
            <v>FZ with SLR</v>
          </cell>
        </row>
        <row r="28">
          <cell r="U28" t="str">
            <v>Heavy industrial</v>
          </cell>
          <cell r="AD28">
            <v>2</v>
          </cell>
          <cell r="AE28">
            <v>1</v>
          </cell>
          <cell r="AG28">
            <v>2.8662808639348025</v>
          </cell>
          <cell r="AH28" t="str">
            <v>FZ with SLR</v>
          </cell>
        </row>
        <row r="29">
          <cell r="U29" t="str">
            <v>Heavy industrial</v>
          </cell>
          <cell r="AD29">
            <v>2</v>
          </cell>
          <cell r="AE29">
            <v>1</v>
          </cell>
          <cell r="AG29">
            <v>4.2675983744719925</v>
          </cell>
          <cell r="AH29" t="str">
            <v>FZ with SLR</v>
          </cell>
        </row>
        <row r="30">
          <cell r="U30" t="str">
            <v>Heavy industrial</v>
          </cell>
          <cell r="AD30">
            <v>2</v>
          </cell>
          <cell r="AE30">
            <v>1</v>
          </cell>
          <cell r="AG30">
            <v>244.96092799127638</v>
          </cell>
          <cell r="AH30" t="str">
            <v>FZ with SLR</v>
          </cell>
        </row>
        <row r="31">
          <cell r="U31" t="str">
            <v>Heavy industrial</v>
          </cell>
          <cell r="AD31">
            <v>2</v>
          </cell>
          <cell r="AE31">
            <v>3</v>
          </cell>
          <cell r="AG31">
            <v>32.268112565886135</v>
          </cell>
          <cell r="AH31" t="str">
            <v>FZ with SLR</v>
          </cell>
        </row>
        <row r="32">
          <cell r="U32" t="str">
            <v>Heavy industrial</v>
          </cell>
          <cell r="AD32">
            <v>2</v>
          </cell>
          <cell r="AE32">
            <v>3</v>
          </cell>
          <cell r="AG32">
            <v>111.20045971418733</v>
          </cell>
          <cell r="AH32" t="str">
            <v>FZ with SLR</v>
          </cell>
        </row>
        <row r="33">
          <cell r="U33" t="str">
            <v>Heavy industrial</v>
          </cell>
          <cell r="AD33">
            <v>3</v>
          </cell>
          <cell r="AE33">
            <v>10</v>
          </cell>
          <cell r="AG33">
            <v>0.30518320876492194</v>
          </cell>
          <cell r="AH33" t="str">
            <v>FZ with SLR</v>
          </cell>
        </row>
        <row r="34">
          <cell r="U34" t="str">
            <v>Heavy industrial</v>
          </cell>
          <cell r="AD34">
            <v>5</v>
          </cell>
          <cell r="AE34">
            <v>10</v>
          </cell>
          <cell r="AG34">
            <v>41.012796442148762</v>
          </cell>
          <cell r="AH34" t="str">
            <v>FZ with SLR</v>
          </cell>
        </row>
        <row r="35">
          <cell r="U35" t="str">
            <v>Heavy industrial</v>
          </cell>
          <cell r="AD35">
            <v>6</v>
          </cell>
          <cell r="AE35">
            <v>6</v>
          </cell>
          <cell r="AG35">
            <v>193.78244324012854</v>
          </cell>
          <cell r="AH35" t="str">
            <v>FZ with SLR</v>
          </cell>
        </row>
        <row r="36">
          <cell r="U36" t="str">
            <v>Heavy industrial</v>
          </cell>
          <cell r="AD36">
            <v>6</v>
          </cell>
          <cell r="AE36">
            <v>10</v>
          </cell>
          <cell r="AG36">
            <v>0.18207706692493114</v>
          </cell>
          <cell r="AH36" t="str">
            <v>SLR not in FZ</v>
          </cell>
        </row>
        <row r="37">
          <cell r="U37" t="str">
            <v>Heavy industrial</v>
          </cell>
          <cell r="AD37">
            <v>6</v>
          </cell>
          <cell r="AE37">
            <v>10</v>
          </cell>
          <cell r="AG37">
            <v>65.167340267676778</v>
          </cell>
          <cell r="AH37" t="str">
            <v>SLR not in FZ</v>
          </cell>
        </row>
        <row r="38">
          <cell r="U38" t="str">
            <v>Heavy industrial</v>
          </cell>
          <cell r="AD38">
            <v>0</v>
          </cell>
          <cell r="AE38">
            <v>5</v>
          </cell>
          <cell r="AG38">
            <v>8.4605258405647383</v>
          </cell>
          <cell r="AH38" t="str">
            <v>FZ with SLR</v>
          </cell>
        </row>
        <row r="39">
          <cell r="U39" t="str">
            <v>Heavy industrial</v>
          </cell>
          <cell r="AD39">
            <v>10</v>
          </cell>
          <cell r="AE39">
            <v>6</v>
          </cell>
          <cell r="AG39">
            <v>8.3260888916896238</v>
          </cell>
          <cell r="AH39" t="str">
            <v>FZ no SLR</v>
          </cell>
        </row>
        <row r="40">
          <cell r="U40" t="str">
            <v>Heavy industrial</v>
          </cell>
          <cell r="AD40">
            <v>10</v>
          </cell>
          <cell r="AE40">
            <v>10</v>
          </cell>
          <cell r="AG40">
            <v>13.844955531978879</v>
          </cell>
          <cell r="AH40" t="str">
            <v>FZ no SLR</v>
          </cell>
        </row>
        <row r="41">
          <cell r="U41" t="str">
            <v>Heavy industrial</v>
          </cell>
          <cell r="AD41">
            <v>0</v>
          </cell>
          <cell r="AE41">
            <v>6</v>
          </cell>
          <cell r="AG41">
            <v>94.311016314279158</v>
          </cell>
          <cell r="AH41" t="str">
            <v>FZ with SLR</v>
          </cell>
        </row>
        <row r="42">
          <cell r="U42" t="str">
            <v>Heavy industrial</v>
          </cell>
          <cell r="AD42">
            <v>2</v>
          </cell>
          <cell r="AE42">
            <v>6</v>
          </cell>
          <cell r="AG42">
            <v>135.65173757943066</v>
          </cell>
          <cell r="AH42" t="str">
            <v>FZ with SLR</v>
          </cell>
        </row>
        <row r="43">
          <cell r="U43" t="str">
            <v>Heavy industrial</v>
          </cell>
          <cell r="AD43">
            <v>3</v>
          </cell>
          <cell r="AE43">
            <v>2</v>
          </cell>
          <cell r="AG43">
            <v>294.32935019283747</v>
          </cell>
          <cell r="AH43" t="str">
            <v>FZ with SLR</v>
          </cell>
        </row>
        <row r="44">
          <cell r="U44" t="str">
            <v>Heavy industrial</v>
          </cell>
          <cell r="AD44">
            <v>3</v>
          </cell>
          <cell r="AE44">
            <v>2</v>
          </cell>
          <cell r="AG44">
            <v>34.523174902662994</v>
          </cell>
          <cell r="AH44" t="str">
            <v>FZ with SLR</v>
          </cell>
        </row>
        <row r="45">
          <cell r="U45" t="str">
            <v>Heavy industrial</v>
          </cell>
          <cell r="AD45">
            <v>3</v>
          </cell>
          <cell r="AE45">
            <v>6</v>
          </cell>
          <cell r="AG45">
            <v>63.384901981634535</v>
          </cell>
          <cell r="AH45" t="str">
            <v>FZ with SLR</v>
          </cell>
        </row>
        <row r="46">
          <cell r="U46" t="str">
            <v>Heavy industrial</v>
          </cell>
          <cell r="AD46">
            <v>4</v>
          </cell>
          <cell r="AE46">
            <v>6</v>
          </cell>
          <cell r="AG46">
            <v>98.925403153810834</v>
          </cell>
          <cell r="AH46" t="str">
            <v>FZ with SLR</v>
          </cell>
        </row>
        <row r="47">
          <cell r="U47" t="str">
            <v>Heavy industrial</v>
          </cell>
          <cell r="AD47">
            <v>0</v>
          </cell>
          <cell r="AE47">
            <v>10</v>
          </cell>
          <cell r="AG47">
            <v>18.914399828374655</v>
          </cell>
          <cell r="AH47" t="str">
            <v>FZ with SLR</v>
          </cell>
        </row>
        <row r="48">
          <cell r="U48" t="str">
            <v>Heavy industrial</v>
          </cell>
          <cell r="AD48">
            <v>4</v>
          </cell>
          <cell r="AE48">
            <v>10</v>
          </cell>
          <cell r="AG48">
            <v>16.897571057690541</v>
          </cell>
          <cell r="AH48" t="str">
            <v>SLR not in FZ</v>
          </cell>
        </row>
        <row r="49">
          <cell r="U49" t="str">
            <v>Heavy industrial</v>
          </cell>
          <cell r="AD49">
            <v>0</v>
          </cell>
          <cell r="AE49">
            <v>1</v>
          </cell>
          <cell r="AG49">
            <v>67.533819123278235</v>
          </cell>
          <cell r="AH49" t="str">
            <v>FZ with SLR</v>
          </cell>
        </row>
        <row r="50">
          <cell r="U50" t="str">
            <v>Heavy industrial</v>
          </cell>
          <cell r="AD50">
            <v>0</v>
          </cell>
          <cell r="AE50">
            <v>10</v>
          </cell>
          <cell r="AG50">
            <v>68.163868922635444</v>
          </cell>
          <cell r="AH50" t="str">
            <v>FZ with SLR</v>
          </cell>
        </row>
        <row r="51">
          <cell r="U51" t="str">
            <v>Heavy industrial</v>
          </cell>
          <cell r="AD51">
            <v>0</v>
          </cell>
          <cell r="AE51">
            <v>1</v>
          </cell>
          <cell r="AG51">
            <v>179.87917139853076</v>
          </cell>
          <cell r="AH51" t="str">
            <v>FZ with SLR</v>
          </cell>
        </row>
        <row r="52">
          <cell r="U52" t="str">
            <v>Heavy industrial</v>
          </cell>
          <cell r="AD52">
            <v>0</v>
          </cell>
          <cell r="AE52">
            <v>10</v>
          </cell>
          <cell r="AG52">
            <v>43.169116542470157</v>
          </cell>
          <cell r="AH52" t="str">
            <v>FZ with SLR</v>
          </cell>
        </row>
        <row r="53">
          <cell r="U53" t="str">
            <v>Heavy industrial</v>
          </cell>
          <cell r="AD53">
            <v>0</v>
          </cell>
          <cell r="AE53">
            <v>4</v>
          </cell>
          <cell r="AG53">
            <v>397.77079636593203</v>
          </cell>
          <cell r="AH53" t="str">
            <v>FZ with SLR</v>
          </cell>
        </row>
        <row r="54">
          <cell r="U54" t="str">
            <v>Heavy industrial</v>
          </cell>
          <cell r="AD54">
            <v>0</v>
          </cell>
          <cell r="AE54">
            <v>3</v>
          </cell>
          <cell r="AG54">
            <v>184.56041741023876</v>
          </cell>
          <cell r="AH54" t="str">
            <v>FZ with SLR</v>
          </cell>
        </row>
        <row r="55">
          <cell r="U55" t="str">
            <v>Heavy industrial</v>
          </cell>
          <cell r="AD55">
            <v>0</v>
          </cell>
          <cell r="AE55">
            <v>10</v>
          </cell>
          <cell r="AG55">
            <v>5.9356934801423327</v>
          </cell>
          <cell r="AH55" t="str">
            <v>FZ with SLR</v>
          </cell>
        </row>
        <row r="56">
          <cell r="U56" t="str">
            <v>Heavy industrial</v>
          </cell>
          <cell r="AD56">
            <v>1</v>
          </cell>
          <cell r="AE56">
            <v>10</v>
          </cell>
          <cell r="AG56">
            <v>16.662321205027549</v>
          </cell>
          <cell r="AH56" t="str">
            <v>FZ with SLR</v>
          </cell>
        </row>
        <row r="57">
          <cell r="U57" t="str">
            <v>Heavy industrial</v>
          </cell>
          <cell r="AD57">
            <v>1</v>
          </cell>
          <cell r="AE57">
            <v>3</v>
          </cell>
          <cell r="AG57">
            <v>106.90874954040403</v>
          </cell>
          <cell r="AH57" t="str">
            <v>FZ with SLR</v>
          </cell>
        </row>
        <row r="58">
          <cell r="U58" t="str">
            <v>Heavy industrial</v>
          </cell>
          <cell r="AD58">
            <v>2</v>
          </cell>
          <cell r="AE58">
            <v>1</v>
          </cell>
          <cell r="AG58">
            <v>50.10763696189165</v>
          </cell>
          <cell r="AH58" t="str">
            <v>FZ with SLR</v>
          </cell>
        </row>
        <row r="59">
          <cell r="U59" t="str">
            <v>Heavy industrial</v>
          </cell>
          <cell r="AD59">
            <v>3</v>
          </cell>
          <cell r="AE59">
            <v>10</v>
          </cell>
          <cell r="AG59">
            <v>0.1182712476097337</v>
          </cell>
          <cell r="AH59" t="str">
            <v>SLR not in FZ</v>
          </cell>
        </row>
        <row r="60">
          <cell r="U60" t="str">
            <v>Heavy industrial</v>
          </cell>
          <cell r="AD60">
            <v>4</v>
          </cell>
          <cell r="AE60">
            <v>3</v>
          </cell>
          <cell r="AG60">
            <v>7.9136053753902669</v>
          </cell>
          <cell r="AH60" t="str">
            <v>SLR not in FZ</v>
          </cell>
        </row>
        <row r="61">
          <cell r="U61" t="str">
            <v>Heavy industrial</v>
          </cell>
          <cell r="AD61">
            <v>0</v>
          </cell>
          <cell r="AE61">
            <v>10</v>
          </cell>
          <cell r="AG61">
            <v>23.132893165289257</v>
          </cell>
          <cell r="AH61" t="str">
            <v>FZ with SLR</v>
          </cell>
        </row>
        <row r="62">
          <cell r="U62" t="str">
            <v>Heavy industrial</v>
          </cell>
          <cell r="AD62">
            <v>4</v>
          </cell>
          <cell r="AE62">
            <v>4</v>
          </cell>
          <cell r="AG62">
            <v>10.832565379178146</v>
          </cell>
          <cell r="AH62" t="str">
            <v>SLR not in FZ</v>
          </cell>
        </row>
        <row r="63">
          <cell r="U63" t="str">
            <v>Heavy industrial</v>
          </cell>
          <cell r="AD63">
            <v>0</v>
          </cell>
          <cell r="AE63">
            <v>10</v>
          </cell>
          <cell r="AG63">
            <v>0.23919648117309458</v>
          </cell>
          <cell r="AH63" t="str">
            <v>FZ with SLR</v>
          </cell>
        </row>
        <row r="64">
          <cell r="U64" t="str">
            <v>Heavy industrial</v>
          </cell>
          <cell r="AD64">
            <v>6</v>
          </cell>
          <cell r="AE64">
            <v>10</v>
          </cell>
          <cell r="AG64">
            <v>3.4264254401056013</v>
          </cell>
          <cell r="AH64" t="str">
            <v>SLR not in FZ</v>
          </cell>
        </row>
        <row r="65">
          <cell r="U65" t="str">
            <v>Heavy industrial</v>
          </cell>
          <cell r="AD65">
            <v>0</v>
          </cell>
          <cell r="AE65">
            <v>5</v>
          </cell>
          <cell r="AG65">
            <v>248.18869570018364</v>
          </cell>
          <cell r="AH65" t="str">
            <v>FZ with SLR</v>
          </cell>
        </row>
        <row r="66">
          <cell r="U66" t="str">
            <v>Heavy industrial</v>
          </cell>
          <cell r="AD66">
            <v>0</v>
          </cell>
          <cell r="AE66">
            <v>6</v>
          </cell>
          <cell r="AG66">
            <v>51.384594017676768</v>
          </cell>
          <cell r="AH66" t="str">
            <v>FZ with SLR</v>
          </cell>
        </row>
        <row r="67">
          <cell r="U67" t="str">
            <v>Heavy industrial</v>
          </cell>
          <cell r="AD67">
            <v>3</v>
          </cell>
          <cell r="AE67">
            <v>6</v>
          </cell>
          <cell r="AG67">
            <v>54.989263857667581</v>
          </cell>
          <cell r="AH67" t="str">
            <v>FZ with SLR</v>
          </cell>
        </row>
        <row r="68">
          <cell r="U68" t="str">
            <v>Heavy industrial</v>
          </cell>
          <cell r="AD68">
            <v>4</v>
          </cell>
          <cell r="AE68">
            <v>5</v>
          </cell>
          <cell r="AG68">
            <v>266.01624116161616</v>
          </cell>
          <cell r="AH68" t="str">
            <v>SLR not in FZ</v>
          </cell>
        </row>
        <row r="69">
          <cell r="U69" t="str">
            <v>Heavy industrial</v>
          </cell>
          <cell r="AD69">
            <v>4</v>
          </cell>
          <cell r="AE69">
            <v>3</v>
          </cell>
          <cell r="AG69">
            <v>13.993333786042239</v>
          </cell>
          <cell r="AH69" t="str">
            <v>SLR not in FZ</v>
          </cell>
        </row>
        <row r="70">
          <cell r="U70" t="str">
            <v>Heavy industrial</v>
          </cell>
          <cell r="AD70">
            <v>5</v>
          </cell>
          <cell r="AE70">
            <v>10</v>
          </cell>
          <cell r="AG70">
            <v>11.576530838980716</v>
          </cell>
          <cell r="AH70" t="str">
            <v>SLR not in FZ</v>
          </cell>
        </row>
        <row r="71">
          <cell r="U71" t="str">
            <v>Heavy industrial</v>
          </cell>
          <cell r="AD71">
            <v>5</v>
          </cell>
          <cell r="AE71">
            <v>10</v>
          </cell>
          <cell r="AG71">
            <v>10.478971520752985</v>
          </cell>
          <cell r="AH71" t="str">
            <v>SLR not in FZ</v>
          </cell>
        </row>
        <row r="72">
          <cell r="U72" t="str">
            <v>Heavy industrial</v>
          </cell>
          <cell r="AD72">
            <v>0</v>
          </cell>
          <cell r="AE72">
            <v>10</v>
          </cell>
          <cell r="AG72">
            <v>14.158816496120295</v>
          </cell>
          <cell r="AH72" t="str">
            <v>FZ with SLR</v>
          </cell>
        </row>
        <row r="73">
          <cell r="U73" t="str">
            <v>Heavy industrial</v>
          </cell>
          <cell r="AD73">
            <v>3</v>
          </cell>
          <cell r="AE73">
            <v>5</v>
          </cell>
          <cell r="AG73">
            <v>37.462345011707988</v>
          </cell>
          <cell r="AH73" t="str">
            <v>FZ with SLR</v>
          </cell>
        </row>
        <row r="74">
          <cell r="U74" t="str">
            <v>Heavy industrial</v>
          </cell>
          <cell r="AD74">
            <v>0</v>
          </cell>
          <cell r="AE74">
            <v>4</v>
          </cell>
          <cell r="AG74">
            <v>23.138579430899906</v>
          </cell>
          <cell r="AH74" t="str">
            <v>FZ with SLR</v>
          </cell>
        </row>
        <row r="75">
          <cell r="U75" t="str">
            <v>Heavy industrial</v>
          </cell>
          <cell r="AD75">
            <v>3</v>
          </cell>
          <cell r="AE75">
            <v>10</v>
          </cell>
          <cell r="AG75">
            <v>1.9850243417929294</v>
          </cell>
          <cell r="AH75" t="str">
            <v>SLR not in FZ</v>
          </cell>
        </row>
        <row r="76">
          <cell r="U76" t="str">
            <v>Heavy industrial</v>
          </cell>
          <cell r="AD76">
            <v>0</v>
          </cell>
          <cell r="AE76">
            <v>10</v>
          </cell>
          <cell r="AG76">
            <v>13.579437458815425</v>
          </cell>
          <cell r="AH76" t="str">
            <v>FZ with SLR</v>
          </cell>
        </row>
        <row r="77">
          <cell r="U77" t="str">
            <v>Heavy industrial</v>
          </cell>
          <cell r="AD77">
            <v>0</v>
          </cell>
          <cell r="AE77">
            <v>10</v>
          </cell>
          <cell r="AG77">
            <v>0.46970954109044999</v>
          </cell>
          <cell r="AH77" t="str">
            <v>FZ with SLR</v>
          </cell>
        </row>
        <row r="78">
          <cell r="U78" t="str">
            <v>Heavy industrial</v>
          </cell>
          <cell r="AD78">
            <v>0</v>
          </cell>
          <cell r="AE78">
            <v>10</v>
          </cell>
          <cell r="AG78">
            <v>21.847585503443526</v>
          </cell>
          <cell r="AH78" t="str">
            <v>FZ with SLR</v>
          </cell>
        </row>
        <row r="79">
          <cell r="U79" t="str">
            <v>Heavy industrial</v>
          </cell>
          <cell r="AD79">
            <v>0</v>
          </cell>
          <cell r="AE79">
            <v>10</v>
          </cell>
          <cell r="AG79">
            <v>22.267859318870524</v>
          </cell>
          <cell r="AH79" t="str">
            <v>FZ with SLR</v>
          </cell>
        </row>
        <row r="80">
          <cell r="U80" t="str">
            <v>Heavy industrial</v>
          </cell>
          <cell r="AD80">
            <v>0</v>
          </cell>
          <cell r="AE80">
            <v>10</v>
          </cell>
          <cell r="AG80">
            <v>2.9811426046372818</v>
          </cell>
          <cell r="AH80" t="str">
            <v>FZ with SLR</v>
          </cell>
        </row>
        <row r="81">
          <cell r="U81" t="str">
            <v>Heavy industrial</v>
          </cell>
          <cell r="AD81">
            <v>0</v>
          </cell>
          <cell r="AE81">
            <v>10</v>
          </cell>
          <cell r="AG81">
            <v>11.259537942263545</v>
          </cell>
          <cell r="AH81" t="str">
            <v>FZ with SLR</v>
          </cell>
        </row>
        <row r="82">
          <cell r="U82" t="str">
            <v>Heavy industrial</v>
          </cell>
          <cell r="AD82">
            <v>4</v>
          </cell>
          <cell r="AE82">
            <v>3</v>
          </cell>
          <cell r="AG82">
            <v>4.3857575868916436</v>
          </cell>
          <cell r="AH82" t="str">
            <v>SLR not in FZ</v>
          </cell>
        </row>
        <row r="83">
          <cell r="U83" t="str">
            <v>Heavy industrial</v>
          </cell>
          <cell r="AD83">
            <v>4</v>
          </cell>
          <cell r="AE83">
            <v>3</v>
          </cell>
          <cell r="AG83">
            <v>12.483536132897154</v>
          </cell>
          <cell r="AH83" t="str">
            <v>SLR not in FZ</v>
          </cell>
        </row>
        <row r="84">
          <cell r="U84" t="str">
            <v>Heavy industrial</v>
          </cell>
          <cell r="AD84">
            <v>0</v>
          </cell>
          <cell r="AE84">
            <v>10</v>
          </cell>
          <cell r="AG84">
            <v>34.040751084251603</v>
          </cell>
          <cell r="AH84" t="str">
            <v>FZ with SLR</v>
          </cell>
        </row>
        <row r="85">
          <cell r="U85" t="str">
            <v>Heavy industrial</v>
          </cell>
          <cell r="AD85">
            <v>10</v>
          </cell>
          <cell r="AE85">
            <v>10</v>
          </cell>
          <cell r="AG85">
            <v>16.561516561547293</v>
          </cell>
          <cell r="AH85" t="str">
            <v>FZ no SLR</v>
          </cell>
        </row>
        <row r="86">
          <cell r="U86" t="str">
            <v>Heavy industrial</v>
          </cell>
          <cell r="AD86">
            <v>6</v>
          </cell>
          <cell r="AE86">
            <v>10</v>
          </cell>
          <cell r="AG86">
            <v>18.541108008402205</v>
          </cell>
          <cell r="AH86" t="str">
            <v>SLR not in FZ</v>
          </cell>
        </row>
        <row r="87">
          <cell r="U87" t="str">
            <v>Heavy industrial</v>
          </cell>
          <cell r="AD87">
            <v>0</v>
          </cell>
          <cell r="AE87">
            <v>10</v>
          </cell>
          <cell r="AG87">
            <v>67.262430887281909</v>
          </cell>
          <cell r="AH87" t="str">
            <v>FZ with SLR</v>
          </cell>
        </row>
        <row r="88">
          <cell r="U88" t="str">
            <v>Heavy industrial</v>
          </cell>
          <cell r="AD88">
            <v>5</v>
          </cell>
          <cell r="AE88">
            <v>5</v>
          </cell>
          <cell r="AG88">
            <v>246.1145104453627</v>
          </cell>
          <cell r="AH88" t="str">
            <v>SLR not in FZ</v>
          </cell>
        </row>
        <row r="89">
          <cell r="U89" t="str">
            <v>Heavy industrial</v>
          </cell>
          <cell r="AD89">
            <v>6</v>
          </cell>
          <cell r="AE89">
            <v>5</v>
          </cell>
          <cell r="AG89">
            <v>43.000126524334249</v>
          </cell>
          <cell r="AH89" t="str">
            <v>SLR not in FZ</v>
          </cell>
        </row>
        <row r="90">
          <cell r="U90" t="str">
            <v>Industrial Park (with structures)</v>
          </cell>
          <cell r="AD90">
            <v>10</v>
          </cell>
          <cell r="AE90">
            <v>10</v>
          </cell>
          <cell r="AG90">
            <v>30.593852653581266</v>
          </cell>
          <cell r="AH90" t="str">
            <v>FZ no SLR</v>
          </cell>
        </row>
        <row r="91">
          <cell r="U91" t="str">
            <v>Industrial Park (with structures)</v>
          </cell>
          <cell r="AD91">
            <v>10</v>
          </cell>
          <cell r="AE91">
            <v>10</v>
          </cell>
          <cell r="AG91">
            <v>5.7224671159090912</v>
          </cell>
          <cell r="AH91" t="str">
            <v>FZ no SLR</v>
          </cell>
        </row>
        <row r="92">
          <cell r="U92" t="str">
            <v>Industrial Park (with structures)</v>
          </cell>
          <cell r="AD92">
            <v>10</v>
          </cell>
          <cell r="AE92">
            <v>10</v>
          </cell>
          <cell r="AG92">
            <v>1.1496699667309458</v>
          </cell>
          <cell r="AH92" t="str">
            <v>FZ no SLR</v>
          </cell>
        </row>
        <row r="93">
          <cell r="U93" t="str">
            <v>Industrial Park (with structures)</v>
          </cell>
          <cell r="AD93">
            <v>10</v>
          </cell>
          <cell r="AE93">
            <v>10</v>
          </cell>
          <cell r="AG93">
            <v>5.6865290503213952</v>
          </cell>
          <cell r="AH93" t="str">
            <v>FZ no SLR</v>
          </cell>
        </row>
        <row r="94">
          <cell r="U94" t="str">
            <v>Industrial Park (with structures)</v>
          </cell>
          <cell r="AD94">
            <v>10</v>
          </cell>
          <cell r="AE94">
            <v>10</v>
          </cell>
          <cell r="AG94">
            <v>7.9636967310376496</v>
          </cell>
          <cell r="AH94" t="str">
            <v>FZ no SLR</v>
          </cell>
        </row>
        <row r="95">
          <cell r="U95" t="str">
            <v>Industrial Park (with structures)</v>
          </cell>
          <cell r="AD95">
            <v>10</v>
          </cell>
          <cell r="AE95">
            <v>10</v>
          </cell>
          <cell r="AG95">
            <v>3.6449935074839304</v>
          </cell>
          <cell r="AH95" t="str">
            <v>FZ no SLR</v>
          </cell>
        </row>
        <row r="96">
          <cell r="U96" t="str">
            <v>Industrial Park (with structures)</v>
          </cell>
          <cell r="AD96">
            <v>10</v>
          </cell>
          <cell r="AE96">
            <v>10</v>
          </cell>
          <cell r="AG96">
            <v>3.5536716840449949</v>
          </cell>
          <cell r="AH96" t="str">
            <v>FZ no SLR</v>
          </cell>
        </row>
        <row r="97">
          <cell r="U97" t="str">
            <v>Industrial Park (with structures)</v>
          </cell>
          <cell r="AD97">
            <v>1</v>
          </cell>
          <cell r="AE97">
            <v>2</v>
          </cell>
          <cell r="AG97">
            <v>77.277476919880627</v>
          </cell>
          <cell r="AH97" t="str">
            <v>FZ with SLR</v>
          </cell>
        </row>
        <row r="98">
          <cell r="U98" t="str">
            <v>Industrial Park (with structures)</v>
          </cell>
          <cell r="AD98">
            <v>10</v>
          </cell>
          <cell r="AE98">
            <v>6</v>
          </cell>
          <cell r="AG98">
            <v>1.5362702925964187</v>
          </cell>
          <cell r="AH98" t="str">
            <v>FZ no SLR</v>
          </cell>
        </row>
        <row r="99">
          <cell r="U99" t="str">
            <v>Industrial Park (with structures)</v>
          </cell>
          <cell r="AD99">
            <v>5</v>
          </cell>
          <cell r="AE99">
            <v>4</v>
          </cell>
          <cell r="AG99">
            <v>3.2435791133838388</v>
          </cell>
          <cell r="AH99" t="str">
            <v>SLR not in FZ</v>
          </cell>
        </row>
        <row r="100">
          <cell r="U100" t="str">
            <v>Industrial Park (with structures)</v>
          </cell>
          <cell r="AD100">
            <v>6</v>
          </cell>
          <cell r="AE100">
            <v>10</v>
          </cell>
          <cell r="AG100">
            <v>6.3432554311524338</v>
          </cell>
          <cell r="AH100" t="str">
            <v>SLR not in FZ</v>
          </cell>
        </row>
        <row r="101">
          <cell r="U101" t="str">
            <v>Industrial Park (with structures)</v>
          </cell>
          <cell r="AD101">
            <v>5</v>
          </cell>
          <cell r="AE101">
            <v>10</v>
          </cell>
          <cell r="AG101">
            <v>5.0217215266758499</v>
          </cell>
          <cell r="AH101" t="str">
            <v>SLR not in FZ</v>
          </cell>
        </row>
        <row r="102">
          <cell r="U102" t="str">
            <v>Industrial Park (with structures)</v>
          </cell>
          <cell r="AD102">
            <v>5</v>
          </cell>
          <cell r="AE102">
            <v>10</v>
          </cell>
          <cell r="AG102">
            <v>2.0668872554384756</v>
          </cell>
          <cell r="AH102" t="str">
            <v>SLR not in FZ</v>
          </cell>
        </row>
        <row r="103">
          <cell r="U103" t="str">
            <v>Industrial Park (with structures)</v>
          </cell>
          <cell r="AD103">
            <v>6</v>
          </cell>
          <cell r="AE103">
            <v>5</v>
          </cell>
          <cell r="AG103">
            <v>1.7206577453213956</v>
          </cell>
          <cell r="AH103" t="str">
            <v>FZ with SLR</v>
          </cell>
        </row>
        <row r="104">
          <cell r="U104" t="str">
            <v>Industrial Park (with structures)</v>
          </cell>
          <cell r="AD104">
            <v>6</v>
          </cell>
          <cell r="AE104">
            <v>10</v>
          </cell>
          <cell r="AG104">
            <v>0.93633051195362726</v>
          </cell>
          <cell r="AH104" t="str">
            <v>SLR not in FZ</v>
          </cell>
        </row>
        <row r="105">
          <cell r="U105" t="str">
            <v>Industrial Park (with structures)</v>
          </cell>
          <cell r="AD105">
            <v>5</v>
          </cell>
          <cell r="AE105">
            <v>10</v>
          </cell>
          <cell r="AG105">
            <v>4.0339059249540865</v>
          </cell>
          <cell r="AH105" t="str">
            <v>SLR not in FZ</v>
          </cell>
        </row>
        <row r="106">
          <cell r="U106" t="str">
            <v>Industrial Park (with structures)</v>
          </cell>
          <cell r="AD106">
            <v>6</v>
          </cell>
          <cell r="AE106">
            <v>5</v>
          </cell>
          <cell r="AG106">
            <v>4.4848721062672174</v>
          </cell>
          <cell r="AH106" t="str">
            <v>SLR not in FZ</v>
          </cell>
        </row>
        <row r="107">
          <cell r="U107" t="str">
            <v>Industrial Park (with structures)</v>
          </cell>
          <cell r="AD107">
            <v>4</v>
          </cell>
          <cell r="AE107">
            <v>10</v>
          </cell>
          <cell r="AG107">
            <v>3.0056736899908172</v>
          </cell>
          <cell r="AH107" t="str">
            <v>SLR not in FZ</v>
          </cell>
        </row>
        <row r="108">
          <cell r="U108" t="str">
            <v>Industrial Park (with structures)</v>
          </cell>
          <cell r="AD108">
            <v>5</v>
          </cell>
          <cell r="AE108">
            <v>10</v>
          </cell>
          <cell r="AG108">
            <v>4.1664125056703396</v>
          </cell>
          <cell r="AH108" t="str">
            <v>SLR not in FZ</v>
          </cell>
        </row>
        <row r="109">
          <cell r="U109" t="str">
            <v>Light industrial</v>
          </cell>
          <cell r="AD109">
            <v>1</v>
          </cell>
          <cell r="AE109">
            <v>10</v>
          </cell>
          <cell r="AG109">
            <v>2.9290592243572084</v>
          </cell>
          <cell r="AH109" t="str">
            <v>FZ with SLR</v>
          </cell>
        </row>
        <row r="110">
          <cell r="U110" t="str">
            <v>Light industrial</v>
          </cell>
          <cell r="AD110">
            <v>10</v>
          </cell>
          <cell r="AE110">
            <v>10</v>
          </cell>
          <cell r="AG110">
            <v>12.461953044146007</v>
          </cell>
          <cell r="AH110" t="str">
            <v>FZ no SLR</v>
          </cell>
        </row>
        <row r="111">
          <cell r="U111" t="str">
            <v>Light industrial</v>
          </cell>
          <cell r="AD111">
            <v>10</v>
          </cell>
          <cell r="AE111">
            <v>10</v>
          </cell>
          <cell r="AG111">
            <v>1.6448906702387511</v>
          </cell>
          <cell r="AH111" t="str">
            <v>FZ no SLR</v>
          </cell>
        </row>
        <row r="112">
          <cell r="U112" t="str">
            <v>Light industrial</v>
          </cell>
          <cell r="AD112">
            <v>10</v>
          </cell>
          <cell r="AE112">
            <v>10</v>
          </cell>
          <cell r="AG112">
            <v>0.54356616983700645</v>
          </cell>
          <cell r="AH112" t="str">
            <v>FZ no SLR</v>
          </cell>
        </row>
        <row r="113">
          <cell r="U113" t="str">
            <v>Light industrial</v>
          </cell>
          <cell r="AD113">
            <v>10</v>
          </cell>
          <cell r="AE113">
            <v>10</v>
          </cell>
          <cell r="AG113">
            <v>2.4257274113177227</v>
          </cell>
          <cell r="AH113" t="str">
            <v>FZ no SLR</v>
          </cell>
        </row>
        <row r="114">
          <cell r="U114" t="str">
            <v>Light industrial</v>
          </cell>
          <cell r="AD114">
            <v>10</v>
          </cell>
          <cell r="AE114">
            <v>6</v>
          </cell>
          <cell r="AG114">
            <v>32.383677336547294</v>
          </cell>
          <cell r="AH114" t="str">
            <v>SLR Adjacent</v>
          </cell>
        </row>
        <row r="115">
          <cell r="U115" t="str">
            <v>Light industrial</v>
          </cell>
          <cell r="AD115">
            <v>10</v>
          </cell>
          <cell r="AE115">
            <v>6</v>
          </cell>
          <cell r="AG115">
            <v>2.8316565483471074</v>
          </cell>
          <cell r="AH115" t="str">
            <v>FZ no SLR</v>
          </cell>
        </row>
        <row r="116">
          <cell r="U116" t="str">
            <v>Light industrial</v>
          </cell>
          <cell r="AD116">
            <v>6</v>
          </cell>
          <cell r="AE116">
            <v>10</v>
          </cell>
          <cell r="AG116">
            <v>0.23148261842975207</v>
          </cell>
          <cell r="AH116" t="str">
            <v>FZ with SLR</v>
          </cell>
        </row>
        <row r="117">
          <cell r="U117" t="str">
            <v>Light industrial</v>
          </cell>
          <cell r="AD117">
            <v>6</v>
          </cell>
          <cell r="AE117">
            <v>10</v>
          </cell>
          <cell r="AG117">
            <v>0.22244113988429751</v>
          </cell>
          <cell r="AH117" t="str">
            <v>FZ with SLR</v>
          </cell>
        </row>
        <row r="118">
          <cell r="U118" t="str">
            <v>Light industrial</v>
          </cell>
          <cell r="AD118">
            <v>5</v>
          </cell>
          <cell r="AE118">
            <v>10</v>
          </cell>
          <cell r="AG118">
            <v>0.10736291395018366</v>
          </cell>
          <cell r="AH118" t="str">
            <v>SLR not in FZ</v>
          </cell>
        </row>
        <row r="119">
          <cell r="U119" t="str">
            <v>Light industrial</v>
          </cell>
          <cell r="AD119">
            <v>5</v>
          </cell>
          <cell r="AE119">
            <v>10</v>
          </cell>
          <cell r="AG119">
            <v>0.1756298915406336</v>
          </cell>
          <cell r="AH119" t="str">
            <v>SLR not in FZ</v>
          </cell>
        </row>
        <row r="120">
          <cell r="U120" t="str">
            <v>Light industrial</v>
          </cell>
          <cell r="AD120">
            <v>6</v>
          </cell>
          <cell r="AE120">
            <v>10</v>
          </cell>
          <cell r="AG120">
            <v>0.19498774308769512</v>
          </cell>
          <cell r="AH120" t="str">
            <v>SLR not in FZ</v>
          </cell>
        </row>
        <row r="121">
          <cell r="U121" t="str">
            <v>Light industrial</v>
          </cell>
          <cell r="AD121">
            <v>10</v>
          </cell>
          <cell r="AE121">
            <v>10</v>
          </cell>
          <cell r="AG121">
            <v>0.12415052382736455</v>
          </cell>
          <cell r="AH121" t="str">
            <v>FZ no SLR</v>
          </cell>
        </row>
        <row r="122">
          <cell r="U122" t="str">
            <v>Light industrial</v>
          </cell>
          <cell r="AD122">
            <v>6</v>
          </cell>
          <cell r="AE122">
            <v>10</v>
          </cell>
          <cell r="AG122">
            <v>7.6517861048438926E-2</v>
          </cell>
          <cell r="AH122" t="str">
            <v>SLR not in FZ</v>
          </cell>
        </row>
        <row r="123">
          <cell r="U123" t="str">
            <v>Light industrial</v>
          </cell>
          <cell r="AD123">
            <v>5</v>
          </cell>
          <cell r="AE123">
            <v>5</v>
          </cell>
          <cell r="AG123">
            <v>21.703371519880623</v>
          </cell>
          <cell r="AH123" t="str">
            <v>FZ with SLR</v>
          </cell>
        </row>
        <row r="124">
          <cell r="U124" t="str">
            <v>Light industrial</v>
          </cell>
          <cell r="AD124">
            <v>10</v>
          </cell>
          <cell r="AE124">
            <v>10</v>
          </cell>
          <cell r="AG124">
            <v>1.84473215043618</v>
          </cell>
          <cell r="AH124" t="str">
            <v>FZ no SLR</v>
          </cell>
        </row>
        <row r="125">
          <cell r="U125" t="str">
            <v>Light industrial</v>
          </cell>
          <cell r="AD125">
            <v>1</v>
          </cell>
          <cell r="AE125">
            <v>6</v>
          </cell>
          <cell r="AG125">
            <v>39.142785411845729</v>
          </cell>
          <cell r="AH125" t="str">
            <v>FZ with SLR</v>
          </cell>
        </row>
        <row r="126">
          <cell r="U126" t="str">
            <v>Light industrial</v>
          </cell>
          <cell r="AD126">
            <v>4</v>
          </cell>
          <cell r="AE126">
            <v>10</v>
          </cell>
          <cell r="AG126">
            <v>0.22708879396763085</v>
          </cell>
          <cell r="AH126" t="str">
            <v>SLR not in FZ</v>
          </cell>
        </row>
        <row r="127">
          <cell r="U127" t="str">
            <v>Light industrial</v>
          </cell>
          <cell r="AD127">
            <v>10</v>
          </cell>
          <cell r="AE127">
            <v>10</v>
          </cell>
          <cell r="AG127">
            <v>1.1538584323645547</v>
          </cell>
          <cell r="AH127" t="str">
            <v>FZ no SLR</v>
          </cell>
        </row>
        <row r="128">
          <cell r="U128" t="str">
            <v>Light industrial</v>
          </cell>
          <cell r="AD128">
            <v>10</v>
          </cell>
          <cell r="AE128">
            <v>6</v>
          </cell>
          <cell r="AG128">
            <v>2.2134637462167124</v>
          </cell>
          <cell r="AH128" t="str">
            <v>FZ no SLR</v>
          </cell>
        </row>
        <row r="129">
          <cell r="U129" t="str">
            <v>Light industrial</v>
          </cell>
          <cell r="AD129">
            <v>6</v>
          </cell>
          <cell r="AE129">
            <v>10</v>
          </cell>
          <cell r="AG129">
            <v>0.35173239740817264</v>
          </cell>
          <cell r="AH129" t="str">
            <v>SLR not in FZ</v>
          </cell>
        </row>
        <row r="130">
          <cell r="U130" t="str">
            <v>Light industrial</v>
          </cell>
          <cell r="AD130">
            <v>10</v>
          </cell>
          <cell r="AE130">
            <v>10</v>
          </cell>
          <cell r="AG130">
            <v>2.0434082690840221</v>
          </cell>
          <cell r="AH130" t="str">
            <v>FZ no SLR</v>
          </cell>
        </row>
        <row r="131">
          <cell r="U131" t="str">
            <v>Light industrial</v>
          </cell>
          <cell r="AD131">
            <v>10</v>
          </cell>
          <cell r="AE131">
            <v>6</v>
          </cell>
          <cell r="AG131">
            <v>3.1145777748393018</v>
          </cell>
          <cell r="AH131" t="str">
            <v>FZ no SLR</v>
          </cell>
        </row>
        <row r="132">
          <cell r="U132" t="str">
            <v>Light industrial</v>
          </cell>
          <cell r="AD132">
            <v>10</v>
          </cell>
          <cell r="AE132">
            <v>10</v>
          </cell>
          <cell r="AG132">
            <v>0.61886387434572998</v>
          </cell>
          <cell r="AH132" t="str">
            <v>FZ no SLR</v>
          </cell>
        </row>
        <row r="133">
          <cell r="U133" t="str">
            <v>Light industrial</v>
          </cell>
          <cell r="AD133">
            <v>5</v>
          </cell>
          <cell r="AE133">
            <v>10</v>
          </cell>
          <cell r="AG133">
            <v>7.0711690829660245</v>
          </cell>
          <cell r="AH133" t="str">
            <v>SLR not in FZ</v>
          </cell>
        </row>
        <row r="134">
          <cell r="U134" t="str">
            <v>Light industrial</v>
          </cell>
          <cell r="AD134">
            <v>0</v>
          </cell>
          <cell r="AE134">
            <v>10</v>
          </cell>
          <cell r="AG134">
            <v>2.7936030872819098</v>
          </cell>
          <cell r="AH134" t="str">
            <v>SLR not in FZ</v>
          </cell>
        </row>
        <row r="135">
          <cell r="U135" t="str">
            <v>Light industrial</v>
          </cell>
          <cell r="AD135">
            <v>10</v>
          </cell>
          <cell r="AE135">
            <v>10</v>
          </cell>
          <cell r="AG135">
            <v>1.2244036600413222</v>
          </cell>
          <cell r="AH135" t="str">
            <v>FZ no SLR</v>
          </cell>
        </row>
        <row r="136">
          <cell r="U136" t="str">
            <v>Light industrial</v>
          </cell>
          <cell r="AD136">
            <v>10</v>
          </cell>
          <cell r="AE136">
            <v>6</v>
          </cell>
          <cell r="AG136">
            <v>6.3681370188934805</v>
          </cell>
          <cell r="AH136" t="str">
            <v>FZ no SLR</v>
          </cell>
        </row>
        <row r="137">
          <cell r="U137" t="str">
            <v>Light industrial</v>
          </cell>
          <cell r="AD137">
            <v>10</v>
          </cell>
          <cell r="AE137">
            <v>6</v>
          </cell>
          <cell r="AG137">
            <v>9.3292970433884292</v>
          </cell>
          <cell r="AH137" t="str">
            <v>SLR Adjacent</v>
          </cell>
        </row>
        <row r="138">
          <cell r="U138" t="str">
            <v>Light industrial</v>
          </cell>
          <cell r="AD138">
            <v>5</v>
          </cell>
          <cell r="AE138">
            <v>4</v>
          </cell>
          <cell r="AG138">
            <v>4.5578891492883384</v>
          </cell>
          <cell r="AH138" t="str">
            <v>SLR not in FZ</v>
          </cell>
        </row>
        <row r="139">
          <cell r="U139" t="str">
            <v>Light industrial</v>
          </cell>
          <cell r="AD139">
            <v>4</v>
          </cell>
          <cell r="AE139">
            <v>3</v>
          </cell>
          <cell r="AG139">
            <v>1.2919576251354454</v>
          </cell>
          <cell r="AH139" t="str">
            <v>SLR not in FZ</v>
          </cell>
        </row>
        <row r="140">
          <cell r="U140" t="str">
            <v>Light industrial</v>
          </cell>
          <cell r="AD140">
            <v>5</v>
          </cell>
          <cell r="AE140">
            <v>10</v>
          </cell>
          <cell r="AG140">
            <v>1.1067891387373738</v>
          </cell>
          <cell r="AH140" t="str">
            <v>SLR not in FZ</v>
          </cell>
        </row>
        <row r="141">
          <cell r="U141" t="str">
            <v>Light industrial</v>
          </cell>
          <cell r="AD141">
            <v>4</v>
          </cell>
          <cell r="AE141">
            <v>10</v>
          </cell>
          <cell r="AG141">
            <v>0.21663629691345274</v>
          </cell>
          <cell r="AH141" t="str">
            <v>SLR not in FZ</v>
          </cell>
        </row>
        <row r="142">
          <cell r="U142" t="str">
            <v>Light industrial</v>
          </cell>
          <cell r="AD142">
            <v>6</v>
          </cell>
          <cell r="AE142">
            <v>10</v>
          </cell>
          <cell r="AG142">
            <v>0.65745240993342524</v>
          </cell>
          <cell r="AH142" t="str">
            <v>SLR not in FZ</v>
          </cell>
        </row>
        <row r="143">
          <cell r="U143" t="str">
            <v>Light industrial</v>
          </cell>
          <cell r="AD143">
            <v>5</v>
          </cell>
          <cell r="AE143">
            <v>10</v>
          </cell>
          <cell r="AG143">
            <v>0.37086992212121211</v>
          </cell>
          <cell r="AH143" t="str">
            <v>SLR not in FZ</v>
          </cell>
        </row>
        <row r="144">
          <cell r="U144" t="str">
            <v>Light industrial</v>
          </cell>
          <cell r="AD144">
            <v>10</v>
          </cell>
          <cell r="AE144">
            <v>6</v>
          </cell>
          <cell r="AG144">
            <v>3.4543913330808085</v>
          </cell>
          <cell r="AH144" t="str">
            <v>SLR Adjacent</v>
          </cell>
        </row>
        <row r="145">
          <cell r="U145" t="str">
            <v>Light industrial</v>
          </cell>
          <cell r="AD145">
            <v>10</v>
          </cell>
          <cell r="AE145">
            <v>6</v>
          </cell>
          <cell r="AG145">
            <v>2.7539918167584938</v>
          </cell>
          <cell r="AH145" t="str">
            <v>SLR Adjacent</v>
          </cell>
        </row>
        <row r="146">
          <cell r="U146" t="str">
            <v>Light industrial</v>
          </cell>
          <cell r="AD146">
            <v>4</v>
          </cell>
          <cell r="AE146">
            <v>10</v>
          </cell>
          <cell r="AG146">
            <v>0.7165557557736455</v>
          </cell>
          <cell r="AH146" t="str">
            <v>SLR not in FZ</v>
          </cell>
        </row>
        <row r="147">
          <cell r="U147" t="str">
            <v>Light industrial</v>
          </cell>
          <cell r="AD147">
            <v>4</v>
          </cell>
          <cell r="AE147">
            <v>10</v>
          </cell>
          <cell r="AG147">
            <v>1.0228466327961432</v>
          </cell>
          <cell r="AH147" t="str">
            <v>SLR not in FZ</v>
          </cell>
        </row>
        <row r="148">
          <cell r="U148" t="str">
            <v>Light industrial</v>
          </cell>
          <cell r="AD148">
            <v>5</v>
          </cell>
          <cell r="AE148">
            <v>10</v>
          </cell>
          <cell r="AG148">
            <v>0.92089824179981628</v>
          </cell>
          <cell r="AH148" t="str">
            <v>SLR not in FZ</v>
          </cell>
        </row>
        <row r="149">
          <cell r="U149" t="str">
            <v>Light industrial</v>
          </cell>
          <cell r="AD149">
            <v>2</v>
          </cell>
          <cell r="AE149">
            <v>10</v>
          </cell>
          <cell r="AG149">
            <v>3.4502804616850322</v>
          </cell>
          <cell r="AH149" t="str">
            <v>FZ with SLR</v>
          </cell>
        </row>
        <row r="150">
          <cell r="U150" t="str">
            <v>Light industrial</v>
          </cell>
          <cell r="AD150">
            <v>4</v>
          </cell>
          <cell r="AE150">
            <v>10</v>
          </cell>
          <cell r="AG150">
            <v>1.9529068612304867</v>
          </cell>
          <cell r="AH150" t="str">
            <v>FZ with SLR</v>
          </cell>
        </row>
        <row r="151">
          <cell r="U151" t="str">
            <v>Light industrial</v>
          </cell>
          <cell r="AD151">
            <v>4</v>
          </cell>
          <cell r="AE151">
            <v>10</v>
          </cell>
          <cell r="AG151">
            <v>1.0017990092102846</v>
          </cell>
          <cell r="AH151" t="str">
            <v>FZ with SLR</v>
          </cell>
        </row>
        <row r="152">
          <cell r="U152" t="str">
            <v>Light industrial</v>
          </cell>
          <cell r="AD152">
            <v>10</v>
          </cell>
          <cell r="AE152">
            <v>10</v>
          </cell>
          <cell r="AG152">
            <v>0.43861582617998163</v>
          </cell>
          <cell r="AH152" t="str">
            <v>FZ no SLR</v>
          </cell>
        </row>
        <row r="153">
          <cell r="U153" t="str">
            <v>Light industrial</v>
          </cell>
          <cell r="AD153">
            <v>4</v>
          </cell>
          <cell r="AE153">
            <v>3</v>
          </cell>
          <cell r="AG153">
            <v>1.5834491468916438</v>
          </cell>
          <cell r="AH153" t="str">
            <v>SLR not in FZ</v>
          </cell>
        </row>
        <row r="154">
          <cell r="U154" t="str">
            <v>Light industrial</v>
          </cell>
          <cell r="AD154">
            <v>6</v>
          </cell>
          <cell r="AE154">
            <v>10</v>
          </cell>
          <cell r="AG154">
            <v>1.7491933836340678</v>
          </cell>
          <cell r="AH154" t="str">
            <v>SLR not in FZ</v>
          </cell>
        </row>
        <row r="155">
          <cell r="U155" t="str">
            <v>Light industrial</v>
          </cell>
          <cell r="AD155">
            <v>6</v>
          </cell>
          <cell r="AE155">
            <v>10</v>
          </cell>
          <cell r="AG155">
            <v>0.37731856323002749</v>
          </cell>
          <cell r="AH155" t="str">
            <v>SLR not in FZ</v>
          </cell>
        </row>
        <row r="156">
          <cell r="U156" t="str">
            <v>Light industrial</v>
          </cell>
          <cell r="AD156">
            <v>4</v>
          </cell>
          <cell r="AE156">
            <v>10</v>
          </cell>
          <cell r="AG156">
            <v>0.11531858890243342</v>
          </cell>
          <cell r="AH156" t="str">
            <v>SLR not in FZ</v>
          </cell>
        </row>
        <row r="157">
          <cell r="U157" t="str">
            <v>Light industrial</v>
          </cell>
          <cell r="AD157">
            <v>10</v>
          </cell>
          <cell r="AE157">
            <v>10</v>
          </cell>
          <cell r="AG157">
            <v>9.4922286645316802</v>
          </cell>
          <cell r="AH157" t="str">
            <v>FZ no SLR</v>
          </cell>
        </row>
        <row r="158">
          <cell r="U158" t="str">
            <v>Light industrial</v>
          </cell>
          <cell r="AD158">
            <v>6</v>
          </cell>
          <cell r="AE158">
            <v>10</v>
          </cell>
          <cell r="AG158">
            <v>0.32459153660009182</v>
          </cell>
          <cell r="AH158" t="str">
            <v>SLR not in FZ</v>
          </cell>
        </row>
        <row r="159">
          <cell r="U159" t="str">
            <v>Light industrial</v>
          </cell>
          <cell r="AD159">
            <v>3</v>
          </cell>
          <cell r="AE159">
            <v>10</v>
          </cell>
          <cell r="AG159">
            <v>1.6591742242194676</v>
          </cell>
          <cell r="AH159" t="str">
            <v>SLR not in FZ</v>
          </cell>
        </row>
        <row r="160">
          <cell r="U160" t="str">
            <v>Light industrial</v>
          </cell>
          <cell r="AD160">
            <v>6</v>
          </cell>
          <cell r="AE160">
            <v>10</v>
          </cell>
          <cell r="AG160">
            <v>0.29338417245867771</v>
          </cell>
          <cell r="AH160" t="str">
            <v>SLR not in FZ</v>
          </cell>
        </row>
        <row r="161">
          <cell r="U161" t="str">
            <v>Light industrial</v>
          </cell>
          <cell r="AD161">
            <v>6</v>
          </cell>
          <cell r="AE161">
            <v>10</v>
          </cell>
          <cell r="AG161">
            <v>0.13473789789393939</v>
          </cell>
          <cell r="AH161" t="str">
            <v>SLR not in FZ</v>
          </cell>
        </row>
        <row r="162">
          <cell r="U162" t="str">
            <v>Light industrial</v>
          </cell>
          <cell r="AD162">
            <v>5</v>
          </cell>
          <cell r="AE162">
            <v>4</v>
          </cell>
          <cell r="AG162">
            <v>0.60760676331496788</v>
          </cell>
          <cell r="AH162" t="str">
            <v>SLR not in FZ</v>
          </cell>
        </row>
        <row r="163">
          <cell r="U163" t="str">
            <v>Light industrial</v>
          </cell>
          <cell r="AD163">
            <v>6</v>
          </cell>
          <cell r="AE163">
            <v>10</v>
          </cell>
          <cell r="AG163">
            <v>0.13675292264256197</v>
          </cell>
          <cell r="AH163" t="str">
            <v>SLR not in FZ</v>
          </cell>
        </row>
        <row r="164">
          <cell r="U164" t="str">
            <v>Light industrial</v>
          </cell>
          <cell r="AD164">
            <v>5</v>
          </cell>
          <cell r="AE164">
            <v>4</v>
          </cell>
          <cell r="AG164">
            <v>0.28972621154499539</v>
          </cell>
          <cell r="AH164" t="str">
            <v>SLR not in FZ</v>
          </cell>
        </row>
        <row r="165">
          <cell r="U165" t="str">
            <v>Light industrial</v>
          </cell>
          <cell r="AD165">
            <v>6</v>
          </cell>
          <cell r="AE165">
            <v>10</v>
          </cell>
          <cell r="AG165">
            <v>0.24257427335858583</v>
          </cell>
          <cell r="AH165" t="str">
            <v>SLR not in FZ</v>
          </cell>
        </row>
        <row r="166">
          <cell r="U166" t="str">
            <v>Light industrial</v>
          </cell>
          <cell r="AD166">
            <v>5</v>
          </cell>
          <cell r="AE166">
            <v>4</v>
          </cell>
          <cell r="AG166">
            <v>0.20861244133838386</v>
          </cell>
          <cell r="AH166" t="str">
            <v>SLR not in FZ</v>
          </cell>
        </row>
        <row r="167">
          <cell r="U167" t="str">
            <v>Light industrial</v>
          </cell>
          <cell r="AD167">
            <v>5</v>
          </cell>
          <cell r="AE167">
            <v>10</v>
          </cell>
          <cell r="AG167">
            <v>0.17883533003282828</v>
          </cell>
          <cell r="AH167" t="str">
            <v>SLR not in FZ</v>
          </cell>
        </row>
        <row r="168">
          <cell r="U168" t="str">
            <v>Light industrial</v>
          </cell>
          <cell r="AD168">
            <v>5</v>
          </cell>
          <cell r="AE168">
            <v>4</v>
          </cell>
          <cell r="AG168">
            <v>9.6430354223370056</v>
          </cell>
          <cell r="AH168" t="str">
            <v>SLR not in FZ</v>
          </cell>
        </row>
        <row r="169">
          <cell r="U169" t="str">
            <v>Light industrial</v>
          </cell>
          <cell r="AD169">
            <v>0</v>
          </cell>
          <cell r="AE169">
            <v>10</v>
          </cell>
          <cell r="AG169">
            <v>4.0107730748852157</v>
          </cell>
          <cell r="AH169" t="str">
            <v>FZ with SLR</v>
          </cell>
        </row>
        <row r="170">
          <cell r="U170" t="str">
            <v>Light industrial</v>
          </cell>
          <cell r="AD170">
            <v>5</v>
          </cell>
          <cell r="AE170">
            <v>10</v>
          </cell>
          <cell r="AG170">
            <v>0.63138840184343437</v>
          </cell>
          <cell r="AH170" t="str">
            <v>SLR not in FZ</v>
          </cell>
        </row>
        <row r="171">
          <cell r="U171" t="str">
            <v>Light industrial</v>
          </cell>
          <cell r="AD171">
            <v>10</v>
          </cell>
          <cell r="AE171">
            <v>10</v>
          </cell>
          <cell r="AG171">
            <v>6.3374294909779616</v>
          </cell>
          <cell r="AH171" t="str">
            <v>FZ no SLR</v>
          </cell>
        </row>
        <row r="172">
          <cell r="U172" t="str">
            <v>Light industrial</v>
          </cell>
          <cell r="AD172">
            <v>6</v>
          </cell>
          <cell r="AE172">
            <v>10</v>
          </cell>
          <cell r="AG172">
            <v>2.0869577608287417</v>
          </cell>
          <cell r="AH172" t="str">
            <v>SLR not in FZ</v>
          </cell>
        </row>
        <row r="173">
          <cell r="U173" t="str">
            <v>Light industrial</v>
          </cell>
          <cell r="AD173">
            <v>5</v>
          </cell>
          <cell r="AE173">
            <v>10</v>
          </cell>
          <cell r="AG173">
            <v>0.62496525210973364</v>
          </cell>
          <cell r="AH173" t="str">
            <v>SLR not in FZ</v>
          </cell>
        </row>
        <row r="174">
          <cell r="U174" t="str">
            <v>Light industrial</v>
          </cell>
          <cell r="AD174">
            <v>4</v>
          </cell>
          <cell r="AE174">
            <v>10</v>
          </cell>
          <cell r="AG174">
            <v>0.61348240044995417</v>
          </cell>
          <cell r="AH174" t="str">
            <v>SLR not in FZ</v>
          </cell>
        </row>
        <row r="175">
          <cell r="U175" t="str">
            <v>Light industrial</v>
          </cell>
          <cell r="AD175">
            <v>10</v>
          </cell>
          <cell r="AE175">
            <v>6</v>
          </cell>
          <cell r="AG175">
            <v>3.3629497033057851</v>
          </cell>
          <cell r="AH175" t="str">
            <v>FZ no SLR</v>
          </cell>
        </row>
        <row r="176">
          <cell r="U176" t="str">
            <v>Light industrial</v>
          </cell>
          <cell r="AD176">
            <v>5</v>
          </cell>
          <cell r="AE176">
            <v>10</v>
          </cell>
          <cell r="AG176">
            <v>0.49005903193526168</v>
          </cell>
          <cell r="AH176" t="str">
            <v>SLR not in FZ</v>
          </cell>
        </row>
        <row r="177">
          <cell r="U177" t="str">
            <v>Light industrial</v>
          </cell>
          <cell r="AD177">
            <v>0</v>
          </cell>
          <cell r="AE177">
            <v>10</v>
          </cell>
          <cell r="AG177">
            <v>22.932353273668504</v>
          </cell>
          <cell r="AH177" t="str">
            <v>FZ with SLR</v>
          </cell>
        </row>
        <row r="178">
          <cell r="U178" t="str">
            <v>Light industrial</v>
          </cell>
          <cell r="AD178">
            <v>4</v>
          </cell>
          <cell r="AE178">
            <v>3</v>
          </cell>
          <cell r="AG178">
            <v>5.8967229817033973</v>
          </cell>
          <cell r="AH178" t="str">
            <v>SLR not in FZ</v>
          </cell>
        </row>
        <row r="179">
          <cell r="U179" t="str">
            <v>Light industrial</v>
          </cell>
          <cell r="AD179">
            <v>5</v>
          </cell>
          <cell r="AE179">
            <v>10</v>
          </cell>
          <cell r="AG179">
            <v>0.16847136924081726</v>
          </cell>
          <cell r="AH179" t="str">
            <v>SLR not in FZ</v>
          </cell>
        </row>
        <row r="180">
          <cell r="U180" t="str">
            <v>Light industrial</v>
          </cell>
          <cell r="AD180">
            <v>6</v>
          </cell>
          <cell r="AE180">
            <v>10</v>
          </cell>
          <cell r="AG180">
            <v>0.34656216368686865</v>
          </cell>
          <cell r="AH180" t="str">
            <v>SLR not in FZ</v>
          </cell>
        </row>
        <row r="181">
          <cell r="U181" t="str">
            <v>Light industrial</v>
          </cell>
          <cell r="AD181">
            <v>5</v>
          </cell>
          <cell r="AE181">
            <v>10</v>
          </cell>
          <cell r="AG181">
            <v>0.25840102463039483</v>
          </cell>
          <cell r="AH181" t="str">
            <v>SLR not in FZ</v>
          </cell>
        </row>
        <row r="182">
          <cell r="U182" t="str">
            <v>Light industrial</v>
          </cell>
          <cell r="AD182">
            <v>5</v>
          </cell>
          <cell r="AE182">
            <v>4</v>
          </cell>
          <cell r="AG182">
            <v>1.9117182873806244</v>
          </cell>
          <cell r="AH182" t="str">
            <v>SLR not in FZ</v>
          </cell>
        </row>
        <row r="183">
          <cell r="U183" t="str">
            <v>Light industrial</v>
          </cell>
          <cell r="AD183">
            <v>5</v>
          </cell>
          <cell r="AE183">
            <v>6</v>
          </cell>
          <cell r="AG183">
            <v>10.708563690128559</v>
          </cell>
          <cell r="AH183" t="str">
            <v>SLR not in FZ</v>
          </cell>
        </row>
        <row r="184">
          <cell r="U184" t="str">
            <v>Light industrial</v>
          </cell>
          <cell r="AD184">
            <v>6</v>
          </cell>
          <cell r="AE184">
            <v>10</v>
          </cell>
          <cell r="AG184">
            <v>0.34133320749311297</v>
          </cell>
          <cell r="AH184" t="str">
            <v>SLR not in FZ</v>
          </cell>
        </row>
        <row r="185">
          <cell r="U185" t="str">
            <v>Light industrial</v>
          </cell>
          <cell r="AD185">
            <v>5</v>
          </cell>
          <cell r="AE185">
            <v>10</v>
          </cell>
          <cell r="AG185">
            <v>0.1198361922006428</v>
          </cell>
          <cell r="AH185" t="str">
            <v>SLR not in FZ</v>
          </cell>
        </row>
        <row r="186">
          <cell r="U186" t="str">
            <v>Light industrial</v>
          </cell>
          <cell r="AD186">
            <v>4</v>
          </cell>
          <cell r="AE186">
            <v>10</v>
          </cell>
          <cell r="AG186">
            <v>1.0317904585238751</v>
          </cell>
          <cell r="AH186" t="str">
            <v>SLR not in FZ</v>
          </cell>
        </row>
        <row r="187">
          <cell r="U187" t="str">
            <v>Light industrial</v>
          </cell>
          <cell r="AD187">
            <v>5</v>
          </cell>
          <cell r="AE187">
            <v>4</v>
          </cell>
          <cell r="AG187">
            <v>0.1382102532288797</v>
          </cell>
          <cell r="AH187" t="str">
            <v>SLR not in FZ</v>
          </cell>
        </row>
        <row r="188">
          <cell r="U188" t="str">
            <v>Light industrial</v>
          </cell>
          <cell r="AD188">
            <v>4</v>
          </cell>
          <cell r="AE188">
            <v>3</v>
          </cell>
          <cell r="AG188">
            <v>12.644227543916436</v>
          </cell>
          <cell r="AH188" t="str">
            <v>SLR not in FZ</v>
          </cell>
        </row>
        <row r="189">
          <cell r="U189" t="str">
            <v>Light industrial</v>
          </cell>
          <cell r="AD189">
            <v>5</v>
          </cell>
          <cell r="AE189">
            <v>10</v>
          </cell>
          <cell r="AG189">
            <v>0.34507744211662078</v>
          </cell>
          <cell r="AH189" t="str">
            <v>SLR not in FZ</v>
          </cell>
        </row>
        <row r="190">
          <cell r="U190" t="str">
            <v>Light industrial</v>
          </cell>
          <cell r="AD190">
            <v>10</v>
          </cell>
          <cell r="AE190">
            <v>6</v>
          </cell>
          <cell r="AG190">
            <v>5.3623302650367313</v>
          </cell>
          <cell r="AH190" t="str">
            <v>SLR Adjacent</v>
          </cell>
        </row>
        <row r="191">
          <cell r="U191" t="str">
            <v>Light industrial</v>
          </cell>
          <cell r="AD191">
            <v>5</v>
          </cell>
          <cell r="AE191">
            <v>10</v>
          </cell>
          <cell r="AG191">
            <v>0.19387746908976125</v>
          </cell>
          <cell r="AH191" t="str">
            <v>SLR not in FZ</v>
          </cell>
        </row>
        <row r="192">
          <cell r="U192" t="str">
            <v>Light industrial</v>
          </cell>
          <cell r="AD192">
            <v>10</v>
          </cell>
          <cell r="AE192">
            <v>6</v>
          </cell>
          <cell r="AG192">
            <v>0.30442650484618916</v>
          </cell>
          <cell r="AH192" t="str">
            <v>SLR Adjacent</v>
          </cell>
        </row>
        <row r="193">
          <cell r="U193" t="str">
            <v>Light industrial</v>
          </cell>
          <cell r="AD193">
            <v>0</v>
          </cell>
          <cell r="AE193">
            <v>10</v>
          </cell>
          <cell r="AG193">
            <v>4.8142524573232324</v>
          </cell>
          <cell r="AH193" t="str">
            <v>FZ with SLR</v>
          </cell>
        </row>
        <row r="194">
          <cell r="U194" t="str">
            <v>Light industrial</v>
          </cell>
          <cell r="AD194">
            <v>4</v>
          </cell>
          <cell r="AE194">
            <v>10</v>
          </cell>
          <cell r="AG194">
            <v>0.23326757730945821</v>
          </cell>
          <cell r="AH194" t="str">
            <v>SLR not in FZ</v>
          </cell>
        </row>
        <row r="195">
          <cell r="U195" t="str">
            <v>Light industrial</v>
          </cell>
          <cell r="AD195">
            <v>4</v>
          </cell>
          <cell r="AE195">
            <v>10</v>
          </cell>
          <cell r="AG195">
            <v>0.12835072378168044</v>
          </cell>
          <cell r="AH195" t="str">
            <v>SLR not in FZ</v>
          </cell>
        </row>
        <row r="196">
          <cell r="U196" t="str">
            <v>Light industrial</v>
          </cell>
          <cell r="AD196">
            <v>10</v>
          </cell>
          <cell r="AE196">
            <v>10</v>
          </cell>
          <cell r="AG196">
            <v>3.7906218398989902</v>
          </cell>
          <cell r="AH196" t="str">
            <v>FZ no SLR</v>
          </cell>
        </row>
        <row r="197">
          <cell r="U197" t="str">
            <v>Light industrial</v>
          </cell>
          <cell r="AD197">
            <v>5</v>
          </cell>
          <cell r="AE197">
            <v>4</v>
          </cell>
          <cell r="AG197">
            <v>1.2374030117929293</v>
          </cell>
          <cell r="AH197" t="str">
            <v>SLR not in FZ</v>
          </cell>
        </row>
        <row r="198">
          <cell r="U198" t="str">
            <v>Light industrial</v>
          </cell>
          <cell r="AD198">
            <v>6</v>
          </cell>
          <cell r="AE198">
            <v>10</v>
          </cell>
          <cell r="AG198">
            <v>0.22101535243732784</v>
          </cell>
          <cell r="AH198" t="str">
            <v>SLR not in FZ</v>
          </cell>
        </row>
        <row r="199">
          <cell r="U199" t="str">
            <v>Light industrial</v>
          </cell>
          <cell r="AD199">
            <v>6</v>
          </cell>
          <cell r="AE199">
            <v>10</v>
          </cell>
          <cell r="AG199">
            <v>0.12790594580876952</v>
          </cell>
          <cell r="AH199" t="str">
            <v>SLR not in FZ</v>
          </cell>
        </row>
        <row r="200">
          <cell r="U200" t="str">
            <v>Light industrial</v>
          </cell>
          <cell r="AD200">
            <v>6</v>
          </cell>
          <cell r="AE200">
            <v>10</v>
          </cell>
          <cell r="AG200">
            <v>6.6217000036042237E-2</v>
          </cell>
          <cell r="AH200" t="str">
            <v>SLR not in FZ</v>
          </cell>
        </row>
        <row r="201">
          <cell r="U201" t="str">
            <v>Light industrial</v>
          </cell>
          <cell r="AD201">
            <v>5</v>
          </cell>
          <cell r="AE201">
            <v>10</v>
          </cell>
          <cell r="AG201">
            <v>1.4714109367952251</v>
          </cell>
          <cell r="AH201" t="str">
            <v>SLR not in FZ</v>
          </cell>
        </row>
        <row r="202">
          <cell r="U202" t="str">
            <v>Light industrial</v>
          </cell>
          <cell r="AD202">
            <v>4</v>
          </cell>
          <cell r="AE202">
            <v>10</v>
          </cell>
          <cell r="AG202">
            <v>2.4112217109044995</v>
          </cell>
          <cell r="AH202" t="str">
            <v>SLR not in FZ</v>
          </cell>
        </row>
        <row r="203">
          <cell r="U203" t="str">
            <v>Light industrial</v>
          </cell>
          <cell r="AD203">
            <v>0</v>
          </cell>
          <cell r="AE203">
            <v>10</v>
          </cell>
          <cell r="AG203">
            <v>2.4078815665977964</v>
          </cell>
          <cell r="AH203" t="str">
            <v>FZ with SLR</v>
          </cell>
        </row>
        <row r="204">
          <cell r="U204" t="str">
            <v>Light industrial</v>
          </cell>
          <cell r="AD204">
            <v>6</v>
          </cell>
          <cell r="AE204">
            <v>10</v>
          </cell>
          <cell r="AG204">
            <v>5.3386911318870522</v>
          </cell>
          <cell r="AH204" t="str">
            <v>SLR not in FZ</v>
          </cell>
        </row>
        <row r="205">
          <cell r="U205" t="str">
            <v>Light industrial</v>
          </cell>
          <cell r="AD205">
            <v>5</v>
          </cell>
          <cell r="AE205">
            <v>10</v>
          </cell>
          <cell r="AG205">
            <v>0.11614359191322313</v>
          </cell>
          <cell r="AH205" t="str">
            <v>FZ with SLR</v>
          </cell>
        </row>
        <row r="206">
          <cell r="U206" t="str">
            <v>Light industrial</v>
          </cell>
          <cell r="AD206">
            <v>6</v>
          </cell>
          <cell r="AE206">
            <v>10</v>
          </cell>
          <cell r="AG206">
            <v>0.49627295013314965</v>
          </cell>
          <cell r="AH206" t="str">
            <v>SLR not in FZ</v>
          </cell>
        </row>
        <row r="207">
          <cell r="U207" t="str">
            <v>Light industrial</v>
          </cell>
          <cell r="AD207">
            <v>6</v>
          </cell>
          <cell r="AE207">
            <v>10</v>
          </cell>
          <cell r="AG207">
            <v>0.44265678822314047</v>
          </cell>
          <cell r="AH207" t="str">
            <v>SLR not in FZ</v>
          </cell>
        </row>
        <row r="208">
          <cell r="U208" t="str">
            <v>Light industrial</v>
          </cell>
          <cell r="AD208">
            <v>6</v>
          </cell>
          <cell r="AE208">
            <v>10</v>
          </cell>
          <cell r="AG208">
            <v>0.80430327289715342</v>
          </cell>
          <cell r="AH208" t="str">
            <v>SLR not in FZ</v>
          </cell>
        </row>
        <row r="209">
          <cell r="U209" t="str">
            <v>Light industrial</v>
          </cell>
          <cell r="AD209">
            <v>5</v>
          </cell>
          <cell r="AE209">
            <v>10</v>
          </cell>
          <cell r="AG209">
            <v>0.13082850380624428</v>
          </cell>
          <cell r="AH209" t="str">
            <v>SLR not in FZ</v>
          </cell>
        </row>
        <row r="210">
          <cell r="U210" t="str">
            <v>Light industrial</v>
          </cell>
          <cell r="AD210">
            <v>4</v>
          </cell>
          <cell r="AE210">
            <v>10</v>
          </cell>
          <cell r="AG210">
            <v>2.962761842929293</v>
          </cell>
          <cell r="AH210" t="str">
            <v>SLR not in FZ</v>
          </cell>
        </row>
        <row r="211">
          <cell r="U211" t="str">
            <v>Light industrial</v>
          </cell>
          <cell r="AD211">
            <v>4</v>
          </cell>
          <cell r="AE211">
            <v>10</v>
          </cell>
          <cell r="AG211">
            <v>1.0373713878351698</v>
          </cell>
          <cell r="AH211" t="str">
            <v>SLR not in FZ</v>
          </cell>
        </row>
        <row r="212">
          <cell r="U212" t="str">
            <v>Light industrial</v>
          </cell>
          <cell r="AD212">
            <v>4</v>
          </cell>
          <cell r="AE212">
            <v>10</v>
          </cell>
          <cell r="AG212">
            <v>2.3641818132690542</v>
          </cell>
          <cell r="AH212" t="str">
            <v>SLR not in FZ</v>
          </cell>
        </row>
        <row r="213">
          <cell r="U213" t="str">
            <v>Light industrial</v>
          </cell>
          <cell r="AD213">
            <v>5</v>
          </cell>
          <cell r="AE213">
            <v>4</v>
          </cell>
          <cell r="AG213">
            <v>1.7394098791942147</v>
          </cell>
          <cell r="AH213" t="str">
            <v>SLR not in FZ</v>
          </cell>
        </row>
        <row r="214">
          <cell r="U214" t="str">
            <v>Light industrial</v>
          </cell>
          <cell r="AD214">
            <v>10</v>
          </cell>
          <cell r="AE214">
            <v>6</v>
          </cell>
          <cell r="AG214">
            <v>1.2004764647887971</v>
          </cell>
          <cell r="AH214" t="str">
            <v>SLR Adjacent</v>
          </cell>
        </row>
        <row r="215">
          <cell r="U215" t="str">
            <v>Light industrial</v>
          </cell>
          <cell r="AD215">
            <v>10</v>
          </cell>
          <cell r="AE215">
            <v>10</v>
          </cell>
          <cell r="AG215">
            <v>10.55292427144169</v>
          </cell>
          <cell r="AH215" t="str">
            <v>FZ no SLR</v>
          </cell>
        </row>
        <row r="216">
          <cell r="U216" t="str">
            <v>Light industrial</v>
          </cell>
          <cell r="AD216">
            <v>10</v>
          </cell>
          <cell r="AE216">
            <v>6</v>
          </cell>
          <cell r="AG216">
            <v>1.8496963179706154</v>
          </cell>
          <cell r="AH216" t="str">
            <v>FZ no SLR</v>
          </cell>
        </row>
        <row r="217">
          <cell r="U217" t="str">
            <v>Light industrial</v>
          </cell>
          <cell r="AD217">
            <v>10</v>
          </cell>
          <cell r="AE217">
            <v>6</v>
          </cell>
          <cell r="AG217">
            <v>0.77096213217171716</v>
          </cell>
          <cell r="AH217" t="str">
            <v>FZ no SLR</v>
          </cell>
        </row>
        <row r="218">
          <cell r="U218" t="str">
            <v>Light industrial</v>
          </cell>
          <cell r="AD218">
            <v>10</v>
          </cell>
          <cell r="AE218">
            <v>10</v>
          </cell>
          <cell r="AG218">
            <v>0.516545395603765</v>
          </cell>
          <cell r="AH218" t="str">
            <v>FZ no SLR</v>
          </cell>
        </row>
        <row r="219">
          <cell r="U219" t="str">
            <v>Light industrial</v>
          </cell>
          <cell r="AD219">
            <v>4</v>
          </cell>
          <cell r="AE219">
            <v>10</v>
          </cell>
          <cell r="AG219">
            <v>2.6905861300734619</v>
          </cell>
          <cell r="AH219" t="str">
            <v>FZ with SLR</v>
          </cell>
        </row>
        <row r="220">
          <cell r="U220" t="str">
            <v>Light industrial</v>
          </cell>
          <cell r="AD220">
            <v>10</v>
          </cell>
          <cell r="AE220">
            <v>6</v>
          </cell>
          <cell r="AG220">
            <v>0.4951169172107438</v>
          </cell>
          <cell r="AH220" t="str">
            <v>FZ no SLR</v>
          </cell>
        </row>
        <row r="221">
          <cell r="U221" t="str">
            <v>Light industrial</v>
          </cell>
          <cell r="AD221">
            <v>2</v>
          </cell>
          <cell r="AE221">
            <v>10</v>
          </cell>
          <cell r="AG221">
            <v>1.0229961569237833</v>
          </cell>
          <cell r="AH221" t="str">
            <v>FZ with SLR</v>
          </cell>
        </row>
        <row r="222">
          <cell r="U222" t="str">
            <v>Light industrial</v>
          </cell>
          <cell r="AD222">
            <v>5</v>
          </cell>
          <cell r="AE222">
            <v>10</v>
          </cell>
          <cell r="AG222">
            <v>0.53022002521579437</v>
          </cell>
          <cell r="AH222" t="str">
            <v>SLR not in FZ</v>
          </cell>
        </row>
        <row r="223">
          <cell r="U223" t="str">
            <v>Light industrial</v>
          </cell>
          <cell r="AD223">
            <v>4</v>
          </cell>
          <cell r="AE223">
            <v>10</v>
          </cell>
          <cell r="AG223">
            <v>8.7240210989210283</v>
          </cell>
          <cell r="AH223" t="str">
            <v>SLR not in FZ</v>
          </cell>
        </row>
        <row r="224">
          <cell r="U224" t="str">
            <v>Light industrial</v>
          </cell>
          <cell r="AD224">
            <v>10</v>
          </cell>
          <cell r="AE224">
            <v>6</v>
          </cell>
          <cell r="AG224">
            <v>5.1724146722451794</v>
          </cell>
          <cell r="AH224" t="str">
            <v>SLR Adjacent</v>
          </cell>
        </row>
        <row r="225">
          <cell r="U225" t="str">
            <v>Light industrial</v>
          </cell>
          <cell r="AD225">
            <v>6</v>
          </cell>
          <cell r="AE225">
            <v>10</v>
          </cell>
          <cell r="AG225">
            <v>0.4356453378787879</v>
          </cell>
          <cell r="AH225" t="str">
            <v>SLR not in FZ</v>
          </cell>
        </row>
        <row r="226">
          <cell r="U226" t="str">
            <v>Light industrial</v>
          </cell>
          <cell r="AD226">
            <v>6</v>
          </cell>
          <cell r="AE226">
            <v>10</v>
          </cell>
          <cell r="AG226">
            <v>0.33149064174471993</v>
          </cell>
          <cell r="AH226" t="str">
            <v>SLR not in FZ</v>
          </cell>
        </row>
        <row r="227">
          <cell r="U227" t="str">
            <v>Light industrial</v>
          </cell>
          <cell r="AD227">
            <v>4</v>
          </cell>
          <cell r="AE227">
            <v>10</v>
          </cell>
          <cell r="AG227">
            <v>2.1220104337075298</v>
          </cell>
          <cell r="AH227" t="str">
            <v>SLR not in FZ</v>
          </cell>
        </row>
        <row r="228">
          <cell r="U228" t="str">
            <v>Light industrial</v>
          </cell>
          <cell r="AD228">
            <v>3</v>
          </cell>
          <cell r="AE228">
            <v>10</v>
          </cell>
          <cell r="AG228">
            <v>0.26844556909320477</v>
          </cell>
          <cell r="AH228" t="str">
            <v>SLR not in FZ</v>
          </cell>
        </row>
        <row r="229">
          <cell r="U229" t="str">
            <v>Light industrial</v>
          </cell>
          <cell r="AD229">
            <v>5</v>
          </cell>
          <cell r="AE229">
            <v>10</v>
          </cell>
          <cell r="AG229">
            <v>1.2235847264279154</v>
          </cell>
          <cell r="AH229" t="str">
            <v>SLR not in FZ</v>
          </cell>
        </row>
        <row r="230">
          <cell r="U230" t="str">
            <v>Light industrial</v>
          </cell>
          <cell r="AD230">
            <v>10</v>
          </cell>
          <cell r="AE230">
            <v>10</v>
          </cell>
          <cell r="AG230">
            <v>0.91658230432736465</v>
          </cell>
          <cell r="AH230" t="str">
            <v>FZ no SLR</v>
          </cell>
        </row>
        <row r="231">
          <cell r="U231" t="str">
            <v>Light industrial</v>
          </cell>
          <cell r="AD231">
            <v>10</v>
          </cell>
          <cell r="AE231">
            <v>10</v>
          </cell>
          <cell r="AG231">
            <v>0.96994971221303949</v>
          </cell>
          <cell r="AH231" t="str">
            <v>FZ no SLR</v>
          </cell>
        </row>
        <row r="232">
          <cell r="U232" t="str">
            <v>Light industrial</v>
          </cell>
          <cell r="AD232">
            <v>5</v>
          </cell>
          <cell r="AE232">
            <v>10</v>
          </cell>
          <cell r="AG232">
            <v>2.2608497713314968</v>
          </cell>
          <cell r="AH232" t="str">
            <v>SLR not in FZ</v>
          </cell>
        </row>
        <row r="233">
          <cell r="U233" t="str">
            <v>Light industrial</v>
          </cell>
          <cell r="AD233">
            <v>0</v>
          </cell>
          <cell r="AE233">
            <v>10</v>
          </cell>
          <cell r="AG233">
            <v>1.682858754919651</v>
          </cell>
          <cell r="AH233" t="str">
            <v>FZ with SLR</v>
          </cell>
        </row>
        <row r="234">
          <cell r="U234" t="str">
            <v>Light industrial</v>
          </cell>
          <cell r="AD234">
            <v>4</v>
          </cell>
          <cell r="AE234">
            <v>3</v>
          </cell>
          <cell r="AG234">
            <v>0.49896751774104681</v>
          </cell>
          <cell r="AH234" t="str">
            <v>SLR not in FZ</v>
          </cell>
        </row>
        <row r="235">
          <cell r="U235" t="str">
            <v>Light industrial</v>
          </cell>
          <cell r="AD235">
            <v>5</v>
          </cell>
          <cell r="AE235">
            <v>4</v>
          </cell>
          <cell r="AG235">
            <v>0.18307782769857667</v>
          </cell>
          <cell r="AH235" t="str">
            <v>SLR not in FZ</v>
          </cell>
        </row>
        <row r="236">
          <cell r="U236" t="str">
            <v>Light industrial</v>
          </cell>
          <cell r="AD236">
            <v>6</v>
          </cell>
          <cell r="AE236">
            <v>10</v>
          </cell>
          <cell r="AG236">
            <v>0.4817249400826446</v>
          </cell>
          <cell r="AH236" t="str">
            <v>SLR not in FZ</v>
          </cell>
        </row>
        <row r="237">
          <cell r="U237" t="str">
            <v>Light industrial</v>
          </cell>
          <cell r="AD237">
            <v>4</v>
          </cell>
          <cell r="AE237">
            <v>10</v>
          </cell>
          <cell r="AG237">
            <v>6.2535037724747475</v>
          </cell>
          <cell r="AH237" t="str">
            <v>SLR not in FZ</v>
          </cell>
        </row>
        <row r="238">
          <cell r="U238" t="str">
            <v>Light industrial</v>
          </cell>
          <cell r="AD238">
            <v>6</v>
          </cell>
          <cell r="AE238">
            <v>10</v>
          </cell>
          <cell r="AG238">
            <v>8.6308781624885214</v>
          </cell>
          <cell r="AH238" t="str">
            <v>SLR not in FZ</v>
          </cell>
        </row>
        <row r="239">
          <cell r="U239" t="str">
            <v>Light industrial</v>
          </cell>
          <cell r="AD239">
            <v>6</v>
          </cell>
          <cell r="AE239">
            <v>10</v>
          </cell>
          <cell r="AG239">
            <v>1.3575143058356292</v>
          </cell>
          <cell r="AH239" t="str">
            <v>SLR not in FZ</v>
          </cell>
        </row>
        <row r="240">
          <cell r="U240" t="str">
            <v>Light industrial</v>
          </cell>
          <cell r="AD240">
            <v>6</v>
          </cell>
          <cell r="AE240">
            <v>10</v>
          </cell>
          <cell r="AG240">
            <v>0.16431196173783288</v>
          </cell>
          <cell r="AH240" t="str">
            <v>SLR not in FZ</v>
          </cell>
        </row>
        <row r="241">
          <cell r="U241" t="str">
            <v>Light industrial</v>
          </cell>
          <cell r="AD241">
            <v>4</v>
          </cell>
          <cell r="AE241">
            <v>10</v>
          </cell>
          <cell r="AG241">
            <v>0.50661519074609729</v>
          </cell>
          <cell r="AH241" t="str">
            <v>FZ with SLR</v>
          </cell>
        </row>
        <row r="242">
          <cell r="U242" t="str">
            <v>Light industrial</v>
          </cell>
          <cell r="AD242">
            <v>6</v>
          </cell>
          <cell r="AE242">
            <v>10</v>
          </cell>
          <cell r="AG242">
            <v>0.34510825027548209</v>
          </cell>
          <cell r="AH242" t="str">
            <v>SLR not in FZ</v>
          </cell>
        </row>
        <row r="243">
          <cell r="U243" t="str">
            <v>Light industrial</v>
          </cell>
          <cell r="AD243">
            <v>5</v>
          </cell>
          <cell r="AE243">
            <v>4</v>
          </cell>
          <cell r="AG243">
            <v>1.7679887002938475</v>
          </cell>
          <cell r="AH243" t="str">
            <v>SLR not in FZ</v>
          </cell>
        </row>
        <row r="244">
          <cell r="U244" t="str">
            <v>Light industrial</v>
          </cell>
          <cell r="AD244">
            <v>10</v>
          </cell>
          <cell r="AE244">
            <v>6</v>
          </cell>
          <cell r="AG244">
            <v>8.1601921363636354</v>
          </cell>
          <cell r="AH244" t="str">
            <v>FZ no SLR</v>
          </cell>
        </row>
        <row r="245">
          <cell r="U245" t="str">
            <v>Light industrial</v>
          </cell>
          <cell r="AD245">
            <v>6</v>
          </cell>
          <cell r="AE245">
            <v>10</v>
          </cell>
          <cell r="AG245">
            <v>2.6458776733700642</v>
          </cell>
          <cell r="AH245" t="str">
            <v>SLR not in FZ</v>
          </cell>
        </row>
        <row r="246">
          <cell r="U246" t="str">
            <v>Light industrial</v>
          </cell>
          <cell r="AD246">
            <v>5</v>
          </cell>
          <cell r="AE246">
            <v>4</v>
          </cell>
          <cell r="AG246">
            <v>0.13976386418296605</v>
          </cell>
          <cell r="AH246" t="str">
            <v>SLR not in FZ</v>
          </cell>
        </row>
        <row r="247">
          <cell r="U247" t="str">
            <v>Light industrial</v>
          </cell>
          <cell r="AD247">
            <v>4</v>
          </cell>
          <cell r="AE247">
            <v>10</v>
          </cell>
          <cell r="AG247">
            <v>1.7207913127295686</v>
          </cell>
          <cell r="AH247" t="str">
            <v>SLR not in FZ</v>
          </cell>
        </row>
        <row r="248">
          <cell r="U248" t="str">
            <v>Light industrial</v>
          </cell>
          <cell r="AD248">
            <v>6</v>
          </cell>
          <cell r="AE248">
            <v>10</v>
          </cell>
          <cell r="AG248">
            <v>0.12779343040289257</v>
          </cell>
          <cell r="AH248" t="str">
            <v>SLR not in FZ</v>
          </cell>
        </row>
        <row r="249">
          <cell r="U249" t="str">
            <v>Light industrial</v>
          </cell>
          <cell r="AD249">
            <v>6</v>
          </cell>
          <cell r="AE249">
            <v>10</v>
          </cell>
          <cell r="AG249">
            <v>0.29101832735537192</v>
          </cell>
          <cell r="AH249" t="str">
            <v>SLR not in FZ</v>
          </cell>
        </row>
        <row r="250">
          <cell r="U250" t="str">
            <v>Light industrial</v>
          </cell>
          <cell r="AD250">
            <v>6</v>
          </cell>
          <cell r="AE250">
            <v>10</v>
          </cell>
          <cell r="AG250">
            <v>0.12013781301170799</v>
          </cell>
          <cell r="AH250" t="str">
            <v>SLR not in FZ</v>
          </cell>
        </row>
        <row r="251">
          <cell r="U251" t="str">
            <v>Light industrial</v>
          </cell>
          <cell r="AD251">
            <v>6</v>
          </cell>
          <cell r="AE251">
            <v>10</v>
          </cell>
          <cell r="AG251">
            <v>0.65186556446969701</v>
          </cell>
          <cell r="AH251" t="str">
            <v>SLR not in FZ</v>
          </cell>
        </row>
        <row r="252">
          <cell r="U252" t="str">
            <v>Light industrial</v>
          </cell>
          <cell r="AD252">
            <v>10</v>
          </cell>
          <cell r="AE252">
            <v>6</v>
          </cell>
          <cell r="AG252">
            <v>4.2730948427685949</v>
          </cell>
          <cell r="AH252" t="str">
            <v>SLR Adjacent</v>
          </cell>
        </row>
        <row r="253">
          <cell r="U253" t="str">
            <v>Light industrial</v>
          </cell>
          <cell r="AD253">
            <v>10</v>
          </cell>
          <cell r="AE253">
            <v>6</v>
          </cell>
          <cell r="AG253">
            <v>4.6156982289256199</v>
          </cell>
          <cell r="AH253" t="str">
            <v>SLR Adjacent</v>
          </cell>
        </row>
        <row r="254">
          <cell r="U254" t="str">
            <v>Light industrial</v>
          </cell>
          <cell r="AD254">
            <v>5</v>
          </cell>
          <cell r="AE254">
            <v>4</v>
          </cell>
          <cell r="AG254">
            <v>0.30330682343204779</v>
          </cell>
          <cell r="AH254" t="str">
            <v>SLR not in FZ</v>
          </cell>
        </row>
        <row r="255">
          <cell r="U255" t="str">
            <v>Light industrial</v>
          </cell>
          <cell r="AD255">
            <v>3</v>
          </cell>
          <cell r="AE255">
            <v>10</v>
          </cell>
          <cell r="AG255">
            <v>1.6798403300321396</v>
          </cell>
          <cell r="AH255" t="str">
            <v>FZ with SLR</v>
          </cell>
        </row>
        <row r="256">
          <cell r="U256" t="str">
            <v>Light industrial</v>
          </cell>
          <cell r="AD256">
            <v>10</v>
          </cell>
          <cell r="AE256">
            <v>6</v>
          </cell>
          <cell r="AG256">
            <v>0.49977608121671263</v>
          </cell>
          <cell r="AH256" t="str">
            <v>SLR Adjacent</v>
          </cell>
        </row>
        <row r="257">
          <cell r="U257" t="str">
            <v>Light industrial</v>
          </cell>
          <cell r="AD257">
            <v>10</v>
          </cell>
          <cell r="AE257">
            <v>6</v>
          </cell>
          <cell r="AG257">
            <v>0.87333660140955005</v>
          </cell>
          <cell r="AH257" t="str">
            <v>SLR Adjacent</v>
          </cell>
        </row>
        <row r="258">
          <cell r="U258" t="str">
            <v>Light industrial</v>
          </cell>
          <cell r="AD258">
            <v>0</v>
          </cell>
          <cell r="AE258">
            <v>5</v>
          </cell>
          <cell r="AG258">
            <v>180.00983157966024</v>
          </cell>
          <cell r="AH258" t="str">
            <v>FZ with SLR</v>
          </cell>
        </row>
        <row r="259">
          <cell r="U259" t="str">
            <v>Light industrial</v>
          </cell>
          <cell r="AD259">
            <v>0</v>
          </cell>
          <cell r="AE259">
            <v>10</v>
          </cell>
          <cell r="AG259">
            <v>94.323617238292016</v>
          </cell>
          <cell r="AH259" t="str">
            <v>FZ with SLR</v>
          </cell>
        </row>
        <row r="260">
          <cell r="U260" t="str">
            <v>Light industrial</v>
          </cell>
          <cell r="AD260">
            <v>1</v>
          </cell>
          <cell r="AE260">
            <v>10</v>
          </cell>
          <cell r="AG260">
            <v>7.8540257376033056</v>
          </cell>
          <cell r="AH260" t="str">
            <v>FZ with SLR</v>
          </cell>
        </row>
        <row r="261">
          <cell r="U261" t="str">
            <v>Light industrial</v>
          </cell>
          <cell r="AD261">
            <v>3</v>
          </cell>
          <cell r="AE261">
            <v>10</v>
          </cell>
          <cell r="AG261">
            <v>2.8137060531221305</v>
          </cell>
          <cell r="AH261" t="str">
            <v>FZ with SLR</v>
          </cell>
        </row>
        <row r="262">
          <cell r="U262" t="str">
            <v>Light industrial</v>
          </cell>
          <cell r="AD262">
            <v>4</v>
          </cell>
          <cell r="AE262">
            <v>10</v>
          </cell>
          <cell r="AG262">
            <v>1.6151277342401285</v>
          </cell>
          <cell r="AH262" t="str">
            <v>FZ with SLR</v>
          </cell>
        </row>
        <row r="263">
          <cell r="U263" t="str">
            <v>Light industrial</v>
          </cell>
          <cell r="AD263">
            <v>6</v>
          </cell>
          <cell r="AE263">
            <v>10</v>
          </cell>
          <cell r="AG263">
            <v>0.12223828652961433</v>
          </cell>
          <cell r="AH263" t="str">
            <v>SLR not in FZ</v>
          </cell>
        </row>
        <row r="264">
          <cell r="U264" t="str">
            <v>Light industrial</v>
          </cell>
          <cell r="AD264">
            <v>6</v>
          </cell>
          <cell r="AE264">
            <v>10</v>
          </cell>
          <cell r="AG264">
            <v>0.12443665965289256</v>
          </cell>
          <cell r="AH264" t="str">
            <v>SLR not in FZ</v>
          </cell>
        </row>
        <row r="265">
          <cell r="U265" t="str">
            <v>Light industrial</v>
          </cell>
          <cell r="AD265">
            <v>4</v>
          </cell>
          <cell r="AE265">
            <v>10</v>
          </cell>
          <cell r="AG265">
            <v>0.18669946796786044</v>
          </cell>
          <cell r="AH265" t="str">
            <v>SLR not in FZ</v>
          </cell>
        </row>
        <row r="266">
          <cell r="U266" t="str">
            <v>Light industrial</v>
          </cell>
          <cell r="AD266">
            <v>10</v>
          </cell>
          <cell r="AE266">
            <v>10</v>
          </cell>
          <cell r="AG266">
            <v>0.87226780441460061</v>
          </cell>
          <cell r="AH266" t="str">
            <v>FZ no SLR</v>
          </cell>
        </row>
        <row r="267">
          <cell r="U267" t="str">
            <v>Light industrial</v>
          </cell>
          <cell r="AD267">
            <v>10</v>
          </cell>
          <cell r="AE267">
            <v>10</v>
          </cell>
          <cell r="AG267">
            <v>1.2949693990174471</v>
          </cell>
          <cell r="AH267" t="str">
            <v>FZ no SLR</v>
          </cell>
        </row>
        <row r="268">
          <cell r="U268" t="str">
            <v>Light industrial</v>
          </cell>
          <cell r="AD268">
            <v>10</v>
          </cell>
          <cell r="AE268">
            <v>10</v>
          </cell>
          <cell r="AG268">
            <v>0.70972692135904503</v>
          </cell>
          <cell r="AH268" t="str">
            <v>FZ no SLR</v>
          </cell>
        </row>
        <row r="269">
          <cell r="U269" t="str">
            <v>Light industrial</v>
          </cell>
          <cell r="AD269">
            <v>10</v>
          </cell>
          <cell r="AE269">
            <v>10</v>
          </cell>
          <cell r="AG269">
            <v>1.8857287610192839</v>
          </cell>
          <cell r="AH269" t="str">
            <v>FZ no SLR</v>
          </cell>
        </row>
        <row r="270">
          <cell r="U270" t="str">
            <v>Research and Development, with or without structures</v>
          </cell>
          <cell r="AD270">
            <v>4</v>
          </cell>
          <cell r="AE270">
            <v>4</v>
          </cell>
          <cell r="AG270">
            <v>24.606806319559229</v>
          </cell>
          <cell r="AH270" t="str">
            <v>SLR not in FZ</v>
          </cell>
        </row>
        <row r="271">
          <cell r="U271" t="str">
            <v>Research and Development, with or without structures</v>
          </cell>
          <cell r="AD271">
            <v>5</v>
          </cell>
          <cell r="AE271">
            <v>10</v>
          </cell>
          <cell r="AG271">
            <v>31.188315925390267</v>
          </cell>
          <cell r="AH271" t="str">
            <v>SLR not in FZ</v>
          </cell>
        </row>
        <row r="272">
          <cell r="U272" t="str">
            <v>Research and Development, with or without structures</v>
          </cell>
          <cell r="AD272">
            <v>4</v>
          </cell>
          <cell r="AE272">
            <v>10</v>
          </cell>
          <cell r="AG272">
            <v>1.1231000710078052</v>
          </cell>
          <cell r="AH272" t="str">
            <v>SLR not in FZ</v>
          </cell>
        </row>
        <row r="273">
          <cell r="U273" t="str">
            <v>Research and Development, with or without structures</v>
          </cell>
          <cell r="AD273">
            <v>5</v>
          </cell>
          <cell r="AE273">
            <v>10</v>
          </cell>
          <cell r="AG273">
            <v>9.5704945982323224</v>
          </cell>
          <cell r="AH273" t="str">
            <v>SLR not in FZ</v>
          </cell>
        </row>
        <row r="274">
          <cell r="U274" t="str">
            <v>Research and Development, with or without structures</v>
          </cell>
          <cell r="AD274">
            <v>4</v>
          </cell>
          <cell r="AE274">
            <v>4</v>
          </cell>
          <cell r="AG274">
            <v>11.593982096326906</v>
          </cell>
          <cell r="AH274" t="str">
            <v>SLR not in FZ</v>
          </cell>
        </row>
        <row r="275">
          <cell r="U275" t="str">
            <v>Research and Development, with or without structures</v>
          </cell>
          <cell r="AD275">
            <v>6</v>
          </cell>
          <cell r="AE275">
            <v>10</v>
          </cell>
          <cell r="AG275">
            <v>0.67527661414141416</v>
          </cell>
          <cell r="AH275" t="str">
            <v>SLR not in FZ</v>
          </cell>
        </row>
        <row r="276">
          <cell r="U276" t="str">
            <v>Research and Development, with or without structures</v>
          </cell>
          <cell r="AD276">
            <v>6</v>
          </cell>
          <cell r="AE276">
            <v>10</v>
          </cell>
          <cell r="AG276">
            <v>4.2755479421028468</v>
          </cell>
          <cell r="AH276" t="str">
            <v>SLR not in FZ</v>
          </cell>
        </row>
        <row r="277">
          <cell r="U277" t="str">
            <v>Research and Development, with or without structures</v>
          </cell>
          <cell r="AD277">
            <v>4</v>
          </cell>
          <cell r="AE277">
            <v>10</v>
          </cell>
          <cell r="AG277">
            <v>2.3821596022727274</v>
          </cell>
          <cell r="AH277" t="str">
            <v>SLR not in FZ</v>
          </cell>
        </row>
        <row r="278">
          <cell r="U278" t="str">
            <v>Research and Development, with or without structures</v>
          </cell>
          <cell r="AD278">
            <v>4</v>
          </cell>
          <cell r="AE278">
            <v>3</v>
          </cell>
          <cell r="AG278">
            <v>6.0250711448347101</v>
          </cell>
          <cell r="AH278" t="str">
            <v>SLR not in FZ</v>
          </cell>
        </row>
        <row r="279">
          <cell r="AG279">
            <v>5934.723291331271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ltiRes Summary"/>
      <sheetName val="MultiReslNoNull - short fields"/>
      <sheetName val="MultiReslNoNull - all fields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ngle Family Summary"/>
      <sheetName val="SingleFam - shrt fields"/>
      <sheetName val="SingleFam - all fields"/>
      <sheetName val="Sheet1"/>
    </sheetNames>
    <sheetDataSet>
      <sheetData sheetId="0" refreshError="1"/>
      <sheetData sheetId="1">
        <row r="1">
          <cell r="Y1" t="str">
            <v>Subclass</v>
          </cell>
          <cell r="AG1" t="str">
            <v>Rise</v>
          </cell>
          <cell r="AH1" t="str">
            <v>LLSLR</v>
          </cell>
          <cell r="AJ1" t="str">
            <v>Acreage Calc</v>
          </cell>
          <cell r="AK1" t="str">
            <v>Inundation Category</v>
          </cell>
        </row>
        <row r="2">
          <cell r="Y2" t="str">
            <v>Single Family Detached</v>
          </cell>
          <cell r="AG2">
            <v>10</v>
          </cell>
          <cell r="AH2">
            <v>10</v>
          </cell>
          <cell r="AJ2">
            <v>0.32142021610422405</v>
          </cell>
          <cell r="AK2" t="str">
            <v>FZ no SLR</v>
          </cell>
        </row>
        <row r="3">
          <cell r="Y3" t="str">
            <v>Single Family Detached</v>
          </cell>
          <cell r="AG3">
            <v>10</v>
          </cell>
          <cell r="AH3">
            <v>10</v>
          </cell>
          <cell r="AJ3">
            <v>0.485864930697888</v>
          </cell>
          <cell r="AK3" t="str">
            <v>FZ no SLR</v>
          </cell>
        </row>
        <row r="4">
          <cell r="Y4" t="str">
            <v>Single Family Detached</v>
          </cell>
          <cell r="AG4">
            <v>10</v>
          </cell>
          <cell r="AH4">
            <v>10</v>
          </cell>
          <cell r="AJ4">
            <v>0.31181878330578511</v>
          </cell>
          <cell r="AK4" t="str">
            <v>FZ no SLR</v>
          </cell>
        </row>
        <row r="5">
          <cell r="Y5" t="str">
            <v>Single Family Detached</v>
          </cell>
          <cell r="AG5">
            <v>10</v>
          </cell>
          <cell r="AH5">
            <v>10</v>
          </cell>
          <cell r="AJ5">
            <v>0.22127217536960514</v>
          </cell>
          <cell r="AK5" t="str">
            <v>FZ no SLR</v>
          </cell>
        </row>
        <row r="6">
          <cell r="Y6" t="str">
            <v>Single Family Detached</v>
          </cell>
          <cell r="AG6">
            <v>10</v>
          </cell>
          <cell r="AH6">
            <v>10</v>
          </cell>
          <cell r="AJ6">
            <v>0.23656941136593207</v>
          </cell>
          <cell r="AK6" t="str">
            <v>FZ no SLR</v>
          </cell>
        </row>
        <row r="7">
          <cell r="Y7" t="str">
            <v>Single Family Detached</v>
          </cell>
          <cell r="AG7">
            <v>10</v>
          </cell>
          <cell r="AH7">
            <v>10</v>
          </cell>
          <cell r="AJ7">
            <v>0.12279702750987145</v>
          </cell>
          <cell r="AK7" t="str">
            <v>FZ no SLR</v>
          </cell>
        </row>
        <row r="8">
          <cell r="Y8" t="str">
            <v>Single Family Detached</v>
          </cell>
          <cell r="AG8">
            <v>10</v>
          </cell>
          <cell r="AH8">
            <v>10</v>
          </cell>
          <cell r="AJ8">
            <v>0.13543863971120293</v>
          </cell>
          <cell r="AK8" t="str">
            <v>FZ no SLR</v>
          </cell>
        </row>
        <row r="9">
          <cell r="Y9" t="str">
            <v>Single Family Detached</v>
          </cell>
          <cell r="AG9">
            <v>10</v>
          </cell>
          <cell r="AH9">
            <v>10</v>
          </cell>
          <cell r="AJ9">
            <v>0.14570132480670339</v>
          </cell>
          <cell r="AK9" t="str">
            <v>FZ no SLR</v>
          </cell>
        </row>
        <row r="10">
          <cell r="Y10" t="str">
            <v>Single Family Detached</v>
          </cell>
          <cell r="AG10">
            <v>10</v>
          </cell>
          <cell r="AH10">
            <v>10</v>
          </cell>
          <cell r="AJ10">
            <v>0.15746822265495869</v>
          </cell>
          <cell r="AK10" t="str">
            <v>FZ no SLR</v>
          </cell>
        </row>
        <row r="11">
          <cell r="Y11" t="str">
            <v>Single Family Detached</v>
          </cell>
          <cell r="AG11">
            <v>10</v>
          </cell>
          <cell r="AH11">
            <v>10</v>
          </cell>
          <cell r="AJ11">
            <v>7.3091584184802577E-2</v>
          </cell>
          <cell r="AK11" t="str">
            <v>FZ no SLR</v>
          </cell>
        </row>
        <row r="12">
          <cell r="Y12" t="str">
            <v>Single Family Detached</v>
          </cell>
          <cell r="AG12">
            <v>10</v>
          </cell>
          <cell r="AH12">
            <v>10</v>
          </cell>
          <cell r="AJ12">
            <v>6.6435897566115704E-2</v>
          </cell>
          <cell r="AK12" t="str">
            <v>FZ no SLR</v>
          </cell>
        </row>
        <row r="13">
          <cell r="Y13" t="str">
            <v>Single Family Detached</v>
          </cell>
          <cell r="AG13">
            <v>10</v>
          </cell>
          <cell r="AH13">
            <v>10</v>
          </cell>
          <cell r="AJ13">
            <v>6.5735433417814501E-2</v>
          </cell>
          <cell r="AK13" t="str">
            <v>FZ no SLR</v>
          </cell>
        </row>
        <row r="14">
          <cell r="Y14" t="str">
            <v>Single Family Detached</v>
          </cell>
          <cell r="AG14">
            <v>10</v>
          </cell>
          <cell r="AH14">
            <v>10</v>
          </cell>
          <cell r="AJ14">
            <v>6.7671188767447196E-2</v>
          </cell>
          <cell r="AK14" t="str">
            <v>FZ no SLR</v>
          </cell>
        </row>
        <row r="15">
          <cell r="Y15" t="str">
            <v>Single Family Detached</v>
          </cell>
          <cell r="AG15">
            <v>10</v>
          </cell>
          <cell r="AH15">
            <v>10</v>
          </cell>
          <cell r="AJ15">
            <v>5.2271652086088152E-2</v>
          </cell>
          <cell r="AK15" t="str">
            <v>FZ no SLR</v>
          </cell>
        </row>
        <row r="16">
          <cell r="Y16" t="str">
            <v>Single Family Vacant</v>
          </cell>
          <cell r="AG16">
            <v>10</v>
          </cell>
          <cell r="AH16">
            <v>10</v>
          </cell>
          <cell r="AJ16">
            <v>5.6749860611340679E-2</v>
          </cell>
          <cell r="AK16" t="str">
            <v>FZ no SLR</v>
          </cell>
        </row>
        <row r="17">
          <cell r="Y17" t="str">
            <v>Single Family Vacant</v>
          </cell>
          <cell r="AG17">
            <v>10</v>
          </cell>
          <cell r="AH17">
            <v>10</v>
          </cell>
          <cell r="AJ17">
            <v>7.8321358244949499E-2</v>
          </cell>
          <cell r="AK17" t="str">
            <v>FZ no SLR</v>
          </cell>
        </row>
        <row r="18">
          <cell r="Y18" t="str">
            <v>Single Family Vacant</v>
          </cell>
          <cell r="AG18">
            <v>10</v>
          </cell>
          <cell r="AH18">
            <v>10</v>
          </cell>
          <cell r="AJ18">
            <v>6.6225959444214874E-2</v>
          </cell>
          <cell r="AK18" t="str">
            <v>FZ no SLR</v>
          </cell>
        </row>
        <row r="19">
          <cell r="Y19" t="str">
            <v>Single Family Vacant</v>
          </cell>
          <cell r="AG19">
            <v>10</v>
          </cell>
          <cell r="AH19">
            <v>10</v>
          </cell>
          <cell r="AJ19">
            <v>7.2314585437327827E-2</v>
          </cell>
          <cell r="AK19" t="str">
            <v>FZ no SLR</v>
          </cell>
        </row>
        <row r="20">
          <cell r="Y20" t="str">
            <v>Single Family Vacant</v>
          </cell>
          <cell r="AG20">
            <v>10</v>
          </cell>
          <cell r="AH20">
            <v>10</v>
          </cell>
          <cell r="AJ20">
            <v>4.8179312908172636E-2</v>
          </cell>
          <cell r="AK20" t="str">
            <v>FZ no SLR</v>
          </cell>
        </row>
        <row r="21">
          <cell r="Y21" t="str">
            <v>Single Family Vacant</v>
          </cell>
          <cell r="AG21">
            <v>10</v>
          </cell>
          <cell r="AH21">
            <v>10</v>
          </cell>
          <cell r="AJ21">
            <v>4.7746021671946741E-2</v>
          </cell>
          <cell r="AK21" t="str">
            <v>FZ no SLR</v>
          </cell>
        </row>
        <row r="22">
          <cell r="Y22" t="str">
            <v>Single Family Vacant</v>
          </cell>
          <cell r="AG22">
            <v>10</v>
          </cell>
          <cell r="AH22">
            <v>10</v>
          </cell>
          <cell r="AJ22">
            <v>6.3692677065886133E-2</v>
          </cell>
          <cell r="AK22" t="str">
            <v>FZ no SLR</v>
          </cell>
        </row>
        <row r="23">
          <cell r="Y23" t="str">
            <v>Single Family Vacant</v>
          </cell>
          <cell r="AG23">
            <v>10</v>
          </cell>
          <cell r="AH23">
            <v>10</v>
          </cell>
          <cell r="AJ23">
            <v>4.679846429637282E-2</v>
          </cell>
          <cell r="AK23" t="str">
            <v>FZ no SLR</v>
          </cell>
        </row>
        <row r="24">
          <cell r="Y24" t="str">
            <v>Single Family Vacant</v>
          </cell>
          <cell r="AG24">
            <v>10</v>
          </cell>
          <cell r="AH24">
            <v>10</v>
          </cell>
          <cell r="AJ24">
            <v>4.6798556888888891E-2</v>
          </cell>
          <cell r="AK24" t="str">
            <v>FZ no SLR</v>
          </cell>
        </row>
        <row r="25">
          <cell r="Y25" t="str">
            <v>Single Family Vacant</v>
          </cell>
          <cell r="AG25">
            <v>10</v>
          </cell>
          <cell r="AH25">
            <v>10</v>
          </cell>
          <cell r="AJ25">
            <v>5.9889326213498628E-2</v>
          </cell>
          <cell r="AK25" t="str">
            <v>FZ no SLR</v>
          </cell>
        </row>
        <row r="26">
          <cell r="Y26" t="str">
            <v>Single Family Vacant</v>
          </cell>
          <cell r="AG26">
            <v>10</v>
          </cell>
          <cell r="AH26">
            <v>10</v>
          </cell>
          <cell r="AJ26">
            <v>4.6838694855371898E-2</v>
          </cell>
          <cell r="AK26" t="str">
            <v>FZ no SLR</v>
          </cell>
        </row>
        <row r="27">
          <cell r="Y27" t="str">
            <v>Single Family Vacant</v>
          </cell>
          <cell r="AG27">
            <v>10</v>
          </cell>
          <cell r="AH27">
            <v>10</v>
          </cell>
          <cell r="AJ27">
            <v>0.16465725511455465</v>
          </cell>
          <cell r="AK27" t="str">
            <v>FZ no SLR</v>
          </cell>
        </row>
        <row r="28">
          <cell r="Y28" t="str">
            <v>Single Family Vacant</v>
          </cell>
          <cell r="AG28">
            <v>10</v>
          </cell>
          <cell r="AH28">
            <v>10</v>
          </cell>
          <cell r="AJ28">
            <v>0.14490909047727274</v>
          </cell>
          <cell r="AK28" t="str">
            <v>FZ no SLR</v>
          </cell>
        </row>
        <row r="29">
          <cell r="Y29" t="str">
            <v>Single Family Vacant</v>
          </cell>
          <cell r="AG29">
            <v>10</v>
          </cell>
          <cell r="AH29">
            <v>10</v>
          </cell>
          <cell r="AJ29">
            <v>0.13791538242516069</v>
          </cell>
          <cell r="AK29" t="str">
            <v>FZ no SLR</v>
          </cell>
        </row>
        <row r="30">
          <cell r="Y30" t="str">
            <v>Single Family Vacant</v>
          </cell>
          <cell r="AG30">
            <v>10</v>
          </cell>
          <cell r="AH30">
            <v>10</v>
          </cell>
          <cell r="AJ30">
            <v>0.13083591307162534</v>
          </cell>
          <cell r="AK30" t="str">
            <v>FZ no SLR</v>
          </cell>
        </row>
        <row r="31">
          <cell r="Y31" t="str">
            <v>Single Family Vacant</v>
          </cell>
          <cell r="AG31">
            <v>10</v>
          </cell>
          <cell r="AH31">
            <v>10</v>
          </cell>
          <cell r="AJ31">
            <v>6.651508382162534E-2</v>
          </cell>
          <cell r="AK31" t="str">
            <v>FZ no SLR</v>
          </cell>
        </row>
        <row r="32">
          <cell r="Y32" t="str">
            <v>Single Family Vacant</v>
          </cell>
          <cell r="AG32">
            <v>10</v>
          </cell>
          <cell r="AH32">
            <v>10</v>
          </cell>
          <cell r="AJ32">
            <v>6.3307999119146016E-2</v>
          </cell>
          <cell r="AK32" t="str">
            <v>FZ no SLR</v>
          </cell>
        </row>
        <row r="33">
          <cell r="Y33" t="str">
            <v>Single Family Detached</v>
          </cell>
          <cell r="AG33">
            <v>10</v>
          </cell>
          <cell r="AH33">
            <v>10</v>
          </cell>
          <cell r="AJ33">
            <v>0.12666575132254362</v>
          </cell>
          <cell r="AK33" t="str">
            <v>FZ no SLR</v>
          </cell>
        </row>
        <row r="34">
          <cell r="Y34" t="str">
            <v>Single Family Detached</v>
          </cell>
          <cell r="AG34">
            <v>10</v>
          </cell>
          <cell r="AH34">
            <v>10</v>
          </cell>
          <cell r="AJ34">
            <v>0.3109042671556474</v>
          </cell>
          <cell r="AK34" t="str">
            <v>FZ no SLR</v>
          </cell>
        </row>
        <row r="35">
          <cell r="Y35" t="str">
            <v>Single Family Detached</v>
          </cell>
          <cell r="AG35">
            <v>10</v>
          </cell>
          <cell r="AH35">
            <v>10</v>
          </cell>
          <cell r="AJ35">
            <v>0.11627790808333333</v>
          </cell>
          <cell r="AK35" t="str">
            <v>FZ no SLR</v>
          </cell>
        </row>
        <row r="36">
          <cell r="Y36" t="str">
            <v>Single Family Detached</v>
          </cell>
          <cell r="AG36">
            <v>10</v>
          </cell>
          <cell r="AH36">
            <v>10</v>
          </cell>
          <cell r="AJ36">
            <v>0.21474244565082645</v>
          </cell>
          <cell r="AK36" t="str">
            <v>FZ no SLR</v>
          </cell>
        </row>
        <row r="37">
          <cell r="Y37" t="str">
            <v>Single Family Detached</v>
          </cell>
          <cell r="AG37">
            <v>10</v>
          </cell>
          <cell r="AH37">
            <v>10</v>
          </cell>
          <cell r="AJ37">
            <v>5.377204253374656E-2</v>
          </cell>
          <cell r="AK37" t="str">
            <v>FZ no SLR</v>
          </cell>
        </row>
        <row r="38">
          <cell r="Y38" t="str">
            <v>Single Family Detached</v>
          </cell>
          <cell r="AG38">
            <v>10</v>
          </cell>
          <cell r="AH38">
            <v>10</v>
          </cell>
          <cell r="AJ38">
            <v>5.5624632727272728E-2</v>
          </cell>
          <cell r="AK38" t="str">
            <v>FZ no SLR</v>
          </cell>
        </row>
        <row r="39">
          <cell r="Y39" t="str">
            <v>Single Family Detached</v>
          </cell>
          <cell r="AG39">
            <v>10</v>
          </cell>
          <cell r="AH39">
            <v>10</v>
          </cell>
          <cell r="AJ39">
            <v>7.9009911462580337E-2</v>
          </cell>
          <cell r="AK39" t="str">
            <v>FZ no SLR</v>
          </cell>
        </row>
        <row r="40">
          <cell r="Y40" t="str">
            <v>Single Family Detached</v>
          </cell>
          <cell r="AG40">
            <v>10</v>
          </cell>
          <cell r="AH40">
            <v>10</v>
          </cell>
          <cell r="AJ40">
            <v>0.17367767540977963</v>
          </cell>
          <cell r="AK40" t="str">
            <v>FZ no SLR</v>
          </cell>
        </row>
        <row r="41">
          <cell r="Y41" t="str">
            <v>Single Family Detached</v>
          </cell>
          <cell r="AG41">
            <v>10</v>
          </cell>
          <cell r="AH41">
            <v>10</v>
          </cell>
          <cell r="AJ41">
            <v>0.11553899676813591</v>
          </cell>
          <cell r="AK41" t="str">
            <v>FZ no SLR</v>
          </cell>
        </row>
        <row r="42">
          <cell r="Y42" t="str">
            <v>Single Family Detached</v>
          </cell>
          <cell r="AG42">
            <v>10</v>
          </cell>
          <cell r="AH42">
            <v>10</v>
          </cell>
          <cell r="AJ42">
            <v>0.13498170836386594</v>
          </cell>
          <cell r="AK42" t="str">
            <v>FZ no SLR</v>
          </cell>
        </row>
        <row r="43">
          <cell r="Y43" t="str">
            <v>Single Family Detached</v>
          </cell>
          <cell r="AG43">
            <v>10</v>
          </cell>
          <cell r="AH43">
            <v>10</v>
          </cell>
          <cell r="AJ43">
            <v>6.3058325380853986E-2</v>
          </cell>
          <cell r="AK43" t="str">
            <v>FZ no SLR</v>
          </cell>
        </row>
        <row r="44">
          <cell r="Y44" t="str">
            <v>Single Family Detached</v>
          </cell>
          <cell r="AG44">
            <v>10</v>
          </cell>
          <cell r="AH44">
            <v>10</v>
          </cell>
          <cell r="AJ44">
            <v>0.15877407396395776</v>
          </cell>
          <cell r="AK44" t="str">
            <v>FZ no SLR</v>
          </cell>
        </row>
        <row r="45">
          <cell r="Y45" t="str">
            <v>Single Family Detached</v>
          </cell>
          <cell r="AG45">
            <v>10</v>
          </cell>
          <cell r="AH45">
            <v>10</v>
          </cell>
          <cell r="AJ45">
            <v>0.16404309970523417</v>
          </cell>
          <cell r="AK45" t="str">
            <v>FZ no SLR</v>
          </cell>
        </row>
        <row r="46">
          <cell r="Y46" t="str">
            <v>Single Family Detached</v>
          </cell>
          <cell r="AG46">
            <v>10</v>
          </cell>
          <cell r="AH46">
            <v>10</v>
          </cell>
          <cell r="AJ46">
            <v>1.1542501110192838E-2</v>
          </cell>
          <cell r="AK46" t="str">
            <v>FZ no SLR</v>
          </cell>
        </row>
        <row r="47">
          <cell r="Y47" t="str">
            <v>Single Family Detached</v>
          </cell>
          <cell r="AG47">
            <v>10</v>
          </cell>
          <cell r="AH47">
            <v>10</v>
          </cell>
          <cell r="AJ47">
            <v>0.14525902813108357</v>
          </cell>
          <cell r="AK47" t="str">
            <v>FZ no SLR</v>
          </cell>
        </row>
        <row r="48">
          <cell r="Y48" t="str">
            <v>Single Family Detached</v>
          </cell>
          <cell r="AG48">
            <v>10</v>
          </cell>
          <cell r="AH48">
            <v>10</v>
          </cell>
          <cell r="AJ48">
            <v>0.15809113120247933</v>
          </cell>
          <cell r="AK48" t="str">
            <v>FZ no SLR</v>
          </cell>
        </row>
        <row r="49">
          <cell r="Y49" t="str">
            <v>Single Family Detached</v>
          </cell>
          <cell r="AG49">
            <v>10</v>
          </cell>
          <cell r="AH49">
            <v>10</v>
          </cell>
          <cell r="AJ49">
            <v>0.15953469195821857</v>
          </cell>
          <cell r="AK49" t="str">
            <v>FZ no SLR</v>
          </cell>
        </row>
        <row r="50">
          <cell r="Y50" t="str">
            <v>Single Family Detached</v>
          </cell>
          <cell r="AG50">
            <v>10</v>
          </cell>
          <cell r="AH50">
            <v>10</v>
          </cell>
          <cell r="AJ50">
            <v>0.15778326773507806</v>
          </cell>
          <cell r="AK50" t="str">
            <v>FZ no SLR</v>
          </cell>
        </row>
        <row r="51">
          <cell r="Y51" t="str">
            <v>Single Family Detached</v>
          </cell>
          <cell r="AG51">
            <v>10</v>
          </cell>
          <cell r="AH51">
            <v>10</v>
          </cell>
          <cell r="AJ51">
            <v>0.98376756222681361</v>
          </cell>
          <cell r="AK51" t="str">
            <v>FZ no SLR</v>
          </cell>
        </row>
        <row r="52">
          <cell r="Y52" t="str">
            <v>Single Family Detached</v>
          </cell>
          <cell r="AG52">
            <v>10</v>
          </cell>
          <cell r="AH52">
            <v>10</v>
          </cell>
          <cell r="AJ52">
            <v>0.11861853919398531</v>
          </cell>
          <cell r="AK52" t="str">
            <v>FZ no SLR</v>
          </cell>
        </row>
        <row r="53">
          <cell r="Y53" t="str">
            <v>Single Family Detached</v>
          </cell>
          <cell r="AG53">
            <v>10</v>
          </cell>
          <cell r="AH53">
            <v>10</v>
          </cell>
          <cell r="AJ53">
            <v>0.11664239360123968</v>
          </cell>
          <cell r="AK53" t="str">
            <v>FZ no SLR</v>
          </cell>
        </row>
        <row r="54">
          <cell r="Y54" t="str">
            <v>Single Family Detached</v>
          </cell>
          <cell r="AG54">
            <v>10</v>
          </cell>
          <cell r="AH54">
            <v>10</v>
          </cell>
          <cell r="AJ54">
            <v>0.11398845378443526</v>
          </cell>
          <cell r="AK54" t="str">
            <v>FZ no SLR</v>
          </cell>
        </row>
        <row r="55">
          <cell r="Y55" t="str">
            <v>Single Family Detached</v>
          </cell>
          <cell r="AG55">
            <v>10</v>
          </cell>
          <cell r="AH55">
            <v>10</v>
          </cell>
          <cell r="AJ55">
            <v>0.27820698959825529</v>
          </cell>
          <cell r="AK55" t="str">
            <v>FZ no SLR</v>
          </cell>
        </row>
        <row r="56">
          <cell r="Y56" t="str">
            <v>Single Family Detached</v>
          </cell>
          <cell r="AG56">
            <v>10</v>
          </cell>
          <cell r="AH56">
            <v>10</v>
          </cell>
          <cell r="AJ56">
            <v>0.16196576805991736</v>
          </cell>
          <cell r="AK56" t="str">
            <v>FZ no SLR</v>
          </cell>
        </row>
        <row r="57">
          <cell r="Y57" t="str">
            <v>Single Family Detached</v>
          </cell>
          <cell r="AG57">
            <v>10</v>
          </cell>
          <cell r="AH57">
            <v>10</v>
          </cell>
          <cell r="AJ57">
            <v>0.20610036227364556</v>
          </cell>
          <cell r="AK57" t="str">
            <v>FZ no SLR</v>
          </cell>
        </row>
        <row r="58">
          <cell r="Y58" t="str">
            <v>Single Family Detached</v>
          </cell>
          <cell r="AG58">
            <v>10</v>
          </cell>
          <cell r="AH58">
            <v>10</v>
          </cell>
          <cell r="AJ58">
            <v>0.11764767153604223</v>
          </cell>
          <cell r="AK58" t="str">
            <v>FZ no SLR</v>
          </cell>
        </row>
        <row r="59">
          <cell r="Y59" t="str">
            <v>Single Family Detached</v>
          </cell>
          <cell r="AG59">
            <v>10</v>
          </cell>
          <cell r="AH59">
            <v>10</v>
          </cell>
          <cell r="AJ59">
            <v>4.6065372369375572E-2</v>
          </cell>
          <cell r="AK59" t="str">
            <v>FZ no SLR</v>
          </cell>
        </row>
        <row r="60">
          <cell r="Y60" t="str">
            <v>Single Family Detached</v>
          </cell>
          <cell r="AG60">
            <v>10</v>
          </cell>
          <cell r="AH60">
            <v>10</v>
          </cell>
          <cell r="AJ60">
            <v>0.12597147264072545</v>
          </cell>
          <cell r="AK60" t="str">
            <v>FZ no SLR</v>
          </cell>
        </row>
        <row r="61">
          <cell r="Y61" t="str">
            <v>Single Family Detached</v>
          </cell>
          <cell r="AG61">
            <v>10</v>
          </cell>
          <cell r="AH61">
            <v>10</v>
          </cell>
          <cell r="AJ61">
            <v>0.11491573154430672</v>
          </cell>
          <cell r="AK61" t="str">
            <v>FZ no SLR</v>
          </cell>
        </row>
        <row r="62">
          <cell r="Y62" t="str">
            <v>Single Family Detached</v>
          </cell>
          <cell r="AG62">
            <v>10</v>
          </cell>
          <cell r="AH62">
            <v>10</v>
          </cell>
          <cell r="AJ62">
            <v>6.6651432144398531E-2</v>
          </cell>
          <cell r="AK62" t="str">
            <v>FZ no SLR</v>
          </cell>
        </row>
        <row r="63">
          <cell r="Y63" t="str">
            <v>Single Family Detached</v>
          </cell>
          <cell r="AG63">
            <v>10</v>
          </cell>
          <cell r="AH63">
            <v>10</v>
          </cell>
          <cell r="AJ63">
            <v>8.8423878097796144E-2</v>
          </cell>
          <cell r="AK63" t="str">
            <v>FZ no SLR</v>
          </cell>
        </row>
        <row r="64">
          <cell r="Y64" t="str">
            <v>Single Family Detached</v>
          </cell>
          <cell r="AG64">
            <v>10</v>
          </cell>
          <cell r="AH64">
            <v>10</v>
          </cell>
          <cell r="AJ64">
            <v>0.11382924020500458</v>
          </cell>
          <cell r="AK64" t="str">
            <v>FZ no SLR</v>
          </cell>
        </row>
        <row r="65">
          <cell r="Y65" t="str">
            <v>Single Family Detached</v>
          </cell>
          <cell r="AG65">
            <v>10</v>
          </cell>
          <cell r="AH65">
            <v>10</v>
          </cell>
          <cell r="AJ65">
            <v>0.11631934792194674</v>
          </cell>
          <cell r="AK65" t="str">
            <v>FZ no SLR</v>
          </cell>
        </row>
        <row r="66">
          <cell r="Y66" t="str">
            <v>Single Family Detached</v>
          </cell>
          <cell r="AG66">
            <v>10</v>
          </cell>
          <cell r="AH66">
            <v>10</v>
          </cell>
          <cell r="AJ66">
            <v>0.11698388037557392</v>
          </cell>
          <cell r="AK66" t="str">
            <v>FZ no SLR</v>
          </cell>
        </row>
        <row r="67">
          <cell r="Y67" t="str">
            <v>Single Family Detached</v>
          </cell>
          <cell r="AG67">
            <v>10</v>
          </cell>
          <cell r="AH67">
            <v>10</v>
          </cell>
          <cell r="AJ67">
            <v>0.13800149366758493</v>
          </cell>
          <cell r="AK67" t="str">
            <v>FZ no SLR</v>
          </cell>
        </row>
        <row r="68">
          <cell r="Y68" t="str">
            <v>Single Family Detached</v>
          </cell>
          <cell r="AG68">
            <v>10</v>
          </cell>
          <cell r="AH68">
            <v>10</v>
          </cell>
          <cell r="AJ68">
            <v>0.20429242194536273</v>
          </cell>
          <cell r="AK68" t="str">
            <v>FZ no SLR</v>
          </cell>
        </row>
        <row r="69">
          <cell r="Y69" t="str">
            <v>Single Family Detached</v>
          </cell>
          <cell r="AG69">
            <v>10</v>
          </cell>
          <cell r="AH69">
            <v>10</v>
          </cell>
          <cell r="AJ69">
            <v>0.11163486495569329</v>
          </cell>
          <cell r="AK69" t="str">
            <v>FZ no SLR</v>
          </cell>
        </row>
        <row r="70">
          <cell r="Y70" t="str">
            <v>Single Family Detached</v>
          </cell>
          <cell r="AG70">
            <v>10</v>
          </cell>
          <cell r="AH70">
            <v>10</v>
          </cell>
          <cell r="AJ70">
            <v>0.10554263896487602</v>
          </cell>
          <cell r="AK70" t="str">
            <v>FZ no SLR</v>
          </cell>
        </row>
        <row r="71">
          <cell r="Y71" t="str">
            <v>Single Family Detached</v>
          </cell>
          <cell r="AG71">
            <v>10</v>
          </cell>
          <cell r="AH71">
            <v>10</v>
          </cell>
          <cell r="AJ71">
            <v>9.6118772348714424E-2</v>
          </cell>
          <cell r="AK71" t="str">
            <v>FZ no SLR</v>
          </cell>
        </row>
        <row r="72">
          <cell r="Y72" t="str">
            <v>Single Family Detached</v>
          </cell>
          <cell r="AG72">
            <v>10</v>
          </cell>
          <cell r="AH72">
            <v>10</v>
          </cell>
          <cell r="AJ72">
            <v>0.10984365607438015</v>
          </cell>
          <cell r="AK72" t="str">
            <v>FZ no SLR</v>
          </cell>
        </row>
        <row r="73">
          <cell r="Y73" t="str">
            <v>Single Family Detached</v>
          </cell>
          <cell r="AG73">
            <v>10</v>
          </cell>
          <cell r="AH73">
            <v>10</v>
          </cell>
          <cell r="AJ73">
            <v>0.12065024418801654</v>
          </cell>
          <cell r="AK73" t="str">
            <v>FZ no SLR</v>
          </cell>
        </row>
        <row r="74">
          <cell r="Y74" t="str">
            <v>Single Family Detached</v>
          </cell>
          <cell r="AG74">
            <v>10</v>
          </cell>
          <cell r="AH74">
            <v>10</v>
          </cell>
          <cell r="AJ74">
            <v>0.11230992834848486</v>
          </cell>
          <cell r="AK74" t="str">
            <v>FZ no SLR</v>
          </cell>
        </row>
        <row r="75">
          <cell r="Y75" t="str">
            <v>Single Family Detached</v>
          </cell>
          <cell r="AG75">
            <v>10</v>
          </cell>
          <cell r="AH75">
            <v>10</v>
          </cell>
          <cell r="AJ75">
            <v>0.11968653578489441</v>
          </cell>
          <cell r="AK75" t="str">
            <v>FZ no SLR</v>
          </cell>
        </row>
        <row r="76">
          <cell r="Y76" t="str">
            <v>Single Family Detached</v>
          </cell>
          <cell r="AG76">
            <v>10</v>
          </cell>
          <cell r="AH76">
            <v>10</v>
          </cell>
          <cell r="AJ76">
            <v>0.12146267008677686</v>
          </cell>
          <cell r="AK76" t="str">
            <v>FZ no SLR</v>
          </cell>
        </row>
        <row r="77">
          <cell r="Y77" t="str">
            <v>Single Family Detached</v>
          </cell>
          <cell r="AG77">
            <v>10</v>
          </cell>
          <cell r="AH77">
            <v>10</v>
          </cell>
          <cell r="AJ77">
            <v>5.879888877433425E-2</v>
          </cell>
          <cell r="AK77" t="str">
            <v>FZ no SLR</v>
          </cell>
        </row>
        <row r="78">
          <cell r="Y78" t="str">
            <v>Single Family Detached</v>
          </cell>
          <cell r="AG78">
            <v>10</v>
          </cell>
          <cell r="AH78">
            <v>10</v>
          </cell>
          <cell r="AJ78">
            <v>5.1633707470844808E-2</v>
          </cell>
          <cell r="AK78" t="str">
            <v>FZ no SLR</v>
          </cell>
        </row>
        <row r="79">
          <cell r="Y79" t="str">
            <v>Single Family Detached</v>
          </cell>
          <cell r="AG79">
            <v>10</v>
          </cell>
          <cell r="AH79">
            <v>10</v>
          </cell>
          <cell r="AJ79">
            <v>0.11973356885812672</v>
          </cell>
          <cell r="AK79" t="str">
            <v>FZ no SLR</v>
          </cell>
        </row>
        <row r="80">
          <cell r="Y80" t="str">
            <v>Single Family Detached</v>
          </cell>
          <cell r="AG80">
            <v>10</v>
          </cell>
          <cell r="AH80">
            <v>10</v>
          </cell>
          <cell r="AJ80">
            <v>0.18996631749563822</v>
          </cell>
          <cell r="AK80" t="str">
            <v>FZ no SLR</v>
          </cell>
        </row>
        <row r="81">
          <cell r="Y81" t="str">
            <v>Single Family Detached</v>
          </cell>
          <cell r="AG81">
            <v>10</v>
          </cell>
          <cell r="AH81">
            <v>10</v>
          </cell>
          <cell r="AJ81">
            <v>4.7028998346648296E-2</v>
          </cell>
          <cell r="AK81" t="str">
            <v>FZ no SLR</v>
          </cell>
        </row>
        <row r="82">
          <cell r="Y82" t="str">
            <v>Vacant, unbuildable</v>
          </cell>
          <cell r="AG82">
            <v>10</v>
          </cell>
          <cell r="AH82">
            <v>10</v>
          </cell>
          <cell r="AJ82">
            <v>7.8230975512855835E-2</v>
          </cell>
          <cell r="AK82" t="str">
            <v>FZ no SLR</v>
          </cell>
        </row>
        <row r="83">
          <cell r="Y83" t="str">
            <v>Single Family Detached</v>
          </cell>
          <cell r="AG83">
            <v>10</v>
          </cell>
          <cell r="AH83">
            <v>10</v>
          </cell>
          <cell r="AJ83">
            <v>0.15420455048048667</v>
          </cell>
          <cell r="AK83" t="str">
            <v>FZ no SLR</v>
          </cell>
        </row>
        <row r="84">
          <cell r="Y84" t="str">
            <v>Single Family Detached</v>
          </cell>
          <cell r="AG84">
            <v>10</v>
          </cell>
          <cell r="AH84">
            <v>10</v>
          </cell>
          <cell r="AJ84">
            <v>5.4591944039715332E-2</v>
          </cell>
          <cell r="AK84" t="str">
            <v>FZ no SLR</v>
          </cell>
        </row>
        <row r="85">
          <cell r="Y85" t="str">
            <v>Single Family Detached</v>
          </cell>
          <cell r="AG85">
            <v>10</v>
          </cell>
          <cell r="AH85">
            <v>10</v>
          </cell>
          <cell r="AJ85">
            <v>5.5295255113177233E-2</v>
          </cell>
          <cell r="AK85" t="str">
            <v>FZ no SLR</v>
          </cell>
        </row>
        <row r="86">
          <cell r="Y86" t="str">
            <v>Single Family Detached</v>
          </cell>
          <cell r="AG86">
            <v>10</v>
          </cell>
          <cell r="AH86">
            <v>10</v>
          </cell>
          <cell r="AJ86">
            <v>5.5334458460514234E-2</v>
          </cell>
          <cell r="AK86" t="str">
            <v>FZ no SLR</v>
          </cell>
        </row>
        <row r="87">
          <cell r="Y87" t="str">
            <v>Single Family Detached</v>
          </cell>
          <cell r="AG87">
            <v>10</v>
          </cell>
          <cell r="AH87">
            <v>10</v>
          </cell>
          <cell r="AJ87">
            <v>5.2395439725665745E-2</v>
          </cell>
          <cell r="AK87" t="str">
            <v>FZ no SLR</v>
          </cell>
        </row>
        <row r="88">
          <cell r="Y88" t="str">
            <v>Single Family Detached</v>
          </cell>
          <cell r="AG88">
            <v>10</v>
          </cell>
          <cell r="AH88">
            <v>10</v>
          </cell>
          <cell r="AJ88">
            <v>0.11441236042447199</v>
          </cell>
          <cell r="AK88" t="str">
            <v>FZ no SLR</v>
          </cell>
        </row>
        <row r="89">
          <cell r="Y89" t="str">
            <v>Single Family Detached</v>
          </cell>
          <cell r="AG89">
            <v>10</v>
          </cell>
          <cell r="AH89">
            <v>10</v>
          </cell>
          <cell r="AJ89">
            <v>8.1583624181818179E-2</v>
          </cell>
          <cell r="AK89" t="str">
            <v>FZ no SLR</v>
          </cell>
        </row>
        <row r="90">
          <cell r="Y90" t="str">
            <v>Single Family Detached</v>
          </cell>
          <cell r="AG90">
            <v>10</v>
          </cell>
          <cell r="AH90">
            <v>10</v>
          </cell>
          <cell r="AJ90">
            <v>0.11531588118778696</v>
          </cell>
          <cell r="AK90" t="str">
            <v>FZ no SLR</v>
          </cell>
        </row>
        <row r="91">
          <cell r="Y91" t="str">
            <v>Single Family Detached</v>
          </cell>
          <cell r="AG91">
            <v>10</v>
          </cell>
          <cell r="AH91">
            <v>10</v>
          </cell>
          <cell r="AJ91">
            <v>0.12172724631083562</v>
          </cell>
          <cell r="AK91" t="str">
            <v>FZ no SLR</v>
          </cell>
        </row>
        <row r="92">
          <cell r="Y92" t="str">
            <v>Single Family Detached</v>
          </cell>
          <cell r="AG92">
            <v>10</v>
          </cell>
          <cell r="AH92">
            <v>10</v>
          </cell>
          <cell r="AJ92">
            <v>0.22143115114095499</v>
          </cell>
          <cell r="AK92" t="str">
            <v>FZ no SLR</v>
          </cell>
        </row>
        <row r="93">
          <cell r="Y93" t="str">
            <v>Single Family Detached</v>
          </cell>
          <cell r="AG93">
            <v>10</v>
          </cell>
          <cell r="AH93">
            <v>10</v>
          </cell>
          <cell r="AJ93">
            <v>0.17750231954683196</v>
          </cell>
          <cell r="AK93" t="str">
            <v>FZ no SLR</v>
          </cell>
        </row>
        <row r="94">
          <cell r="Y94" t="str">
            <v>Single Family Detached</v>
          </cell>
          <cell r="AG94">
            <v>10</v>
          </cell>
          <cell r="AH94">
            <v>10</v>
          </cell>
          <cell r="AJ94">
            <v>0.14987387792309459</v>
          </cell>
          <cell r="AK94" t="str">
            <v>FZ no SLR</v>
          </cell>
        </row>
        <row r="95">
          <cell r="Y95" t="str">
            <v>Single Family Detached</v>
          </cell>
          <cell r="AG95">
            <v>10</v>
          </cell>
          <cell r="AH95">
            <v>10</v>
          </cell>
          <cell r="AJ95">
            <v>0.1587313207341598</v>
          </cell>
          <cell r="AK95" t="str">
            <v>FZ no SLR</v>
          </cell>
        </row>
        <row r="96">
          <cell r="Y96" t="str">
            <v>Single Family Detached</v>
          </cell>
          <cell r="AG96">
            <v>10</v>
          </cell>
          <cell r="AH96">
            <v>10</v>
          </cell>
          <cell r="AJ96">
            <v>0.1244337646228191</v>
          </cell>
          <cell r="AK96" t="str">
            <v>FZ no SLR</v>
          </cell>
        </row>
        <row r="97">
          <cell r="Y97" t="str">
            <v>Single Family Detached</v>
          </cell>
          <cell r="AG97">
            <v>10</v>
          </cell>
          <cell r="AH97">
            <v>10</v>
          </cell>
          <cell r="AJ97">
            <v>6.7503563680670342E-3</v>
          </cell>
          <cell r="AK97" t="str">
            <v>FZ no SLR</v>
          </cell>
        </row>
        <row r="98">
          <cell r="Y98" t="str">
            <v>Single Family Detached</v>
          </cell>
          <cell r="AG98">
            <v>10</v>
          </cell>
          <cell r="AH98">
            <v>10</v>
          </cell>
          <cell r="AJ98">
            <v>7.3275870941460056E-2</v>
          </cell>
          <cell r="AK98" t="str">
            <v>FZ no SLR</v>
          </cell>
        </row>
        <row r="99">
          <cell r="Y99" t="str">
            <v>Single Family Detached</v>
          </cell>
          <cell r="AG99">
            <v>10</v>
          </cell>
          <cell r="AH99">
            <v>10</v>
          </cell>
          <cell r="AJ99">
            <v>0.17200703257070707</v>
          </cell>
          <cell r="AK99" t="str">
            <v>FZ no SLR</v>
          </cell>
        </row>
        <row r="100">
          <cell r="Y100" t="str">
            <v>Single Family Detached</v>
          </cell>
          <cell r="AG100">
            <v>10</v>
          </cell>
          <cell r="AH100">
            <v>10</v>
          </cell>
          <cell r="AJ100">
            <v>5.6071539241965104E-2</v>
          </cell>
          <cell r="AK100" t="str">
            <v>FZ no SLR</v>
          </cell>
        </row>
        <row r="101">
          <cell r="Y101" t="str">
            <v>Single Family Detached</v>
          </cell>
          <cell r="AG101">
            <v>10</v>
          </cell>
          <cell r="AH101">
            <v>10</v>
          </cell>
          <cell r="AJ101">
            <v>0.16114004567355372</v>
          </cell>
          <cell r="AK101" t="str">
            <v>FZ no SLR</v>
          </cell>
        </row>
        <row r="102">
          <cell r="Y102" t="str">
            <v>Single Family Detached</v>
          </cell>
          <cell r="AG102">
            <v>10</v>
          </cell>
          <cell r="AH102">
            <v>10</v>
          </cell>
          <cell r="AJ102">
            <v>0.1161884610530303</v>
          </cell>
          <cell r="AK102" t="str">
            <v>FZ no SLR</v>
          </cell>
        </row>
        <row r="103">
          <cell r="Y103" t="str">
            <v>Single Family Detached</v>
          </cell>
          <cell r="AG103">
            <v>10</v>
          </cell>
          <cell r="AH103">
            <v>10</v>
          </cell>
          <cell r="AJ103">
            <v>0.11439888088820017</v>
          </cell>
          <cell r="AK103" t="str">
            <v>FZ no SLR</v>
          </cell>
        </row>
        <row r="104">
          <cell r="Y104" t="str">
            <v>Single Family Detached</v>
          </cell>
          <cell r="AG104">
            <v>10</v>
          </cell>
          <cell r="AH104">
            <v>10</v>
          </cell>
          <cell r="AJ104">
            <v>0.11215231658976126</v>
          </cell>
          <cell r="AK104" t="str">
            <v>FZ no SLR</v>
          </cell>
        </row>
        <row r="105">
          <cell r="Y105" t="str">
            <v>Single Family Detached</v>
          </cell>
          <cell r="AG105">
            <v>10</v>
          </cell>
          <cell r="AH105">
            <v>10</v>
          </cell>
          <cell r="AJ105">
            <v>9.6975928456382005E-2</v>
          </cell>
          <cell r="AK105" t="str">
            <v>FZ no SLR</v>
          </cell>
        </row>
        <row r="106">
          <cell r="Y106" t="str">
            <v>Single Family Detached</v>
          </cell>
          <cell r="AG106">
            <v>10</v>
          </cell>
          <cell r="AH106">
            <v>10</v>
          </cell>
          <cell r="AJ106">
            <v>0.13172421311524332</v>
          </cell>
          <cell r="AK106" t="str">
            <v>FZ no SLR</v>
          </cell>
        </row>
        <row r="107">
          <cell r="Y107" t="str">
            <v>Single Family Detached</v>
          </cell>
          <cell r="AG107">
            <v>10</v>
          </cell>
          <cell r="AH107">
            <v>10</v>
          </cell>
          <cell r="AJ107">
            <v>0.15379362258746557</v>
          </cell>
          <cell r="AK107" t="str">
            <v>FZ no SLR</v>
          </cell>
        </row>
        <row r="108">
          <cell r="Y108" t="str">
            <v>Single Family Detached</v>
          </cell>
          <cell r="AG108">
            <v>10</v>
          </cell>
          <cell r="AH108">
            <v>10</v>
          </cell>
          <cell r="AJ108">
            <v>8.8839294660468318E-2</v>
          </cell>
          <cell r="AK108" t="str">
            <v>FZ no SLR</v>
          </cell>
        </row>
        <row r="109">
          <cell r="Y109" t="str">
            <v>Single Family Detached</v>
          </cell>
          <cell r="AG109">
            <v>10</v>
          </cell>
          <cell r="AH109">
            <v>10</v>
          </cell>
          <cell r="AJ109">
            <v>0.11175298755280073</v>
          </cell>
          <cell r="AK109" t="str">
            <v>FZ no SLR</v>
          </cell>
        </row>
        <row r="110">
          <cell r="Y110" t="str">
            <v>Single Family Detached</v>
          </cell>
          <cell r="AG110">
            <v>10</v>
          </cell>
          <cell r="AH110">
            <v>10</v>
          </cell>
          <cell r="AJ110">
            <v>0.16657649225114785</v>
          </cell>
          <cell r="AK110" t="str">
            <v>FZ no SLR</v>
          </cell>
        </row>
        <row r="111">
          <cell r="Y111" t="str">
            <v>Single Family Detached</v>
          </cell>
          <cell r="AG111">
            <v>10</v>
          </cell>
          <cell r="AH111">
            <v>10</v>
          </cell>
          <cell r="AJ111">
            <v>0.1185758911577135</v>
          </cell>
          <cell r="AK111" t="str">
            <v>FZ no SLR</v>
          </cell>
        </row>
        <row r="112">
          <cell r="Y112" t="str">
            <v>Single Family Detached</v>
          </cell>
          <cell r="AG112">
            <v>10</v>
          </cell>
          <cell r="AH112">
            <v>10</v>
          </cell>
          <cell r="AJ112">
            <v>0.11844900907713499</v>
          </cell>
          <cell r="AK112" t="str">
            <v>FZ no SLR</v>
          </cell>
        </row>
        <row r="113">
          <cell r="Y113" t="str">
            <v>Single Family Detached</v>
          </cell>
          <cell r="AG113">
            <v>10</v>
          </cell>
          <cell r="AH113">
            <v>10</v>
          </cell>
          <cell r="AJ113">
            <v>0.11299723806060606</v>
          </cell>
          <cell r="AK113" t="str">
            <v>FZ no SLR</v>
          </cell>
        </row>
        <row r="114">
          <cell r="Y114" t="str">
            <v>Single Family Detached</v>
          </cell>
          <cell r="AG114">
            <v>10</v>
          </cell>
          <cell r="AH114">
            <v>10</v>
          </cell>
          <cell r="AJ114">
            <v>0.11548530335927457</v>
          </cell>
          <cell r="AK114" t="str">
            <v>FZ no SLR</v>
          </cell>
        </row>
        <row r="115">
          <cell r="Y115" t="str">
            <v>Single Family Detached</v>
          </cell>
          <cell r="AG115">
            <v>10</v>
          </cell>
          <cell r="AH115">
            <v>10</v>
          </cell>
          <cell r="AJ115">
            <v>0.11496351051331496</v>
          </cell>
          <cell r="AK115" t="str">
            <v>FZ no SLR</v>
          </cell>
        </row>
        <row r="116">
          <cell r="Y116" t="str">
            <v>Single Family Detached</v>
          </cell>
          <cell r="AG116">
            <v>10</v>
          </cell>
          <cell r="AH116">
            <v>10</v>
          </cell>
          <cell r="AJ116">
            <v>0.11696866404866851</v>
          </cell>
          <cell r="AK116" t="str">
            <v>FZ no SLR</v>
          </cell>
        </row>
        <row r="117">
          <cell r="Y117" t="str">
            <v>Single Family Detached</v>
          </cell>
          <cell r="AG117">
            <v>10</v>
          </cell>
          <cell r="AH117">
            <v>10</v>
          </cell>
          <cell r="AJ117">
            <v>0.11667152403374655</v>
          </cell>
          <cell r="AK117" t="str">
            <v>FZ no SLR</v>
          </cell>
        </row>
        <row r="118">
          <cell r="Y118" t="str">
            <v>Single Family Detached</v>
          </cell>
          <cell r="AG118">
            <v>10</v>
          </cell>
          <cell r="AH118">
            <v>10</v>
          </cell>
          <cell r="AJ118">
            <v>4.7147687507346187E-2</v>
          </cell>
          <cell r="AK118" t="str">
            <v>FZ no SLR</v>
          </cell>
        </row>
        <row r="119">
          <cell r="Y119" t="str">
            <v>Single Family Detached</v>
          </cell>
          <cell r="AG119">
            <v>10</v>
          </cell>
          <cell r="AH119">
            <v>10</v>
          </cell>
          <cell r="AJ119">
            <v>0.11757214868365472</v>
          </cell>
          <cell r="AK119" t="str">
            <v>FZ no SLR</v>
          </cell>
        </row>
        <row r="120">
          <cell r="Y120" t="str">
            <v>Single Family Detached</v>
          </cell>
          <cell r="AG120">
            <v>10</v>
          </cell>
          <cell r="AH120">
            <v>10</v>
          </cell>
          <cell r="AJ120">
            <v>0.11416531439049588</v>
          </cell>
          <cell r="AK120" t="str">
            <v>FZ no SLR</v>
          </cell>
        </row>
        <row r="121">
          <cell r="Y121" t="str">
            <v>Single Family Detached</v>
          </cell>
          <cell r="AG121">
            <v>10</v>
          </cell>
          <cell r="AH121">
            <v>10</v>
          </cell>
          <cell r="AJ121">
            <v>0.12021621571625345</v>
          </cell>
          <cell r="AK121" t="str">
            <v>FZ no SLR</v>
          </cell>
        </row>
        <row r="122">
          <cell r="Y122" t="str">
            <v>Single Family Detached</v>
          </cell>
          <cell r="AG122">
            <v>10</v>
          </cell>
          <cell r="AH122">
            <v>10</v>
          </cell>
          <cell r="AJ122">
            <v>0.11297791657598714</v>
          </cell>
          <cell r="AK122" t="str">
            <v>FZ no SLR</v>
          </cell>
        </row>
        <row r="123">
          <cell r="Y123" t="str">
            <v>Single Family Detached</v>
          </cell>
          <cell r="AG123">
            <v>10</v>
          </cell>
          <cell r="AH123">
            <v>10</v>
          </cell>
          <cell r="AJ123">
            <v>0.11624413097199265</v>
          </cell>
          <cell r="AK123" t="str">
            <v>FZ no SLR</v>
          </cell>
        </row>
        <row r="124">
          <cell r="Y124" t="str">
            <v>Single Family Detached</v>
          </cell>
          <cell r="AG124">
            <v>10</v>
          </cell>
          <cell r="AH124">
            <v>10</v>
          </cell>
          <cell r="AJ124">
            <v>0.11708167729109274</v>
          </cell>
          <cell r="AK124" t="str">
            <v>FZ no SLR</v>
          </cell>
        </row>
        <row r="125">
          <cell r="Y125" t="str">
            <v>Single Family Detached</v>
          </cell>
          <cell r="AG125">
            <v>10</v>
          </cell>
          <cell r="AH125">
            <v>10</v>
          </cell>
          <cell r="AJ125">
            <v>0.1152577035130854</v>
          </cell>
          <cell r="AK125" t="str">
            <v>FZ no SLR</v>
          </cell>
        </row>
        <row r="126">
          <cell r="Y126" t="str">
            <v>Single Family Detached</v>
          </cell>
          <cell r="AG126">
            <v>10</v>
          </cell>
          <cell r="AH126">
            <v>10</v>
          </cell>
          <cell r="AJ126">
            <v>4.8477099548438936E-2</v>
          </cell>
          <cell r="AK126" t="str">
            <v>FZ no SLR</v>
          </cell>
        </row>
        <row r="127">
          <cell r="Y127" t="str">
            <v>Single Family Detached</v>
          </cell>
          <cell r="AG127">
            <v>10</v>
          </cell>
          <cell r="AH127">
            <v>10</v>
          </cell>
          <cell r="AJ127">
            <v>7.8460121362947652E-2</v>
          </cell>
          <cell r="AK127" t="str">
            <v>FZ no SLR</v>
          </cell>
        </row>
        <row r="128">
          <cell r="Y128" t="str">
            <v>Single Family Detached</v>
          </cell>
          <cell r="AG128">
            <v>10</v>
          </cell>
          <cell r="AH128">
            <v>10</v>
          </cell>
          <cell r="AJ128">
            <v>0.11144916682024794</v>
          </cell>
          <cell r="AK128" t="str">
            <v>FZ no SLR</v>
          </cell>
        </row>
        <row r="129">
          <cell r="Y129" t="str">
            <v>Single Family Detached</v>
          </cell>
          <cell r="AG129">
            <v>10</v>
          </cell>
          <cell r="AH129">
            <v>10</v>
          </cell>
          <cell r="AJ129">
            <v>0.1169228777355372</v>
          </cell>
          <cell r="AK129" t="str">
            <v>FZ no SLR</v>
          </cell>
        </row>
        <row r="130">
          <cell r="Y130" t="str">
            <v>Single Family Detached</v>
          </cell>
          <cell r="AG130">
            <v>10</v>
          </cell>
          <cell r="AH130">
            <v>10</v>
          </cell>
          <cell r="AJ130">
            <v>3.5263298748622593E-2</v>
          </cell>
          <cell r="AK130" t="str">
            <v>FZ no SLR</v>
          </cell>
        </row>
        <row r="131">
          <cell r="Y131" t="str">
            <v>Single Family Detached</v>
          </cell>
          <cell r="AG131">
            <v>10</v>
          </cell>
          <cell r="AH131">
            <v>10</v>
          </cell>
          <cell r="AJ131">
            <v>8.0626152919191924E-2</v>
          </cell>
          <cell r="AK131" t="str">
            <v>FZ no SLR</v>
          </cell>
        </row>
        <row r="132">
          <cell r="Y132" t="str">
            <v>Single Family Detached</v>
          </cell>
          <cell r="AG132">
            <v>10</v>
          </cell>
          <cell r="AH132">
            <v>10</v>
          </cell>
          <cell r="AJ132">
            <v>0.11633162137764004</v>
          </cell>
          <cell r="AK132" t="str">
            <v>FZ no SLR</v>
          </cell>
        </row>
        <row r="133">
          <cell r="Y133" t="str">
            <v>Single Family Detached</v>
          </cell>
          <cell r="AG133">
            <v>10</v>
          </cell>
          <cell r="AH133">
            <v>10</v>
          </cell>
          <cell r="AJ133">
            <v>6.9312941260789712E-2</v>
          </cell>
          <cell r="AK133" t="str">
            <v>FZ no SLR</v>
          </cell>
        </row>
        <row r="134">
          <cell r="Y134" t="str">
            <v>Single Family Detached</v>
          </cell>
          <cell r="AG134">
            <v>10</v>
          </cell>
          <cell r="AH134">
            <v>10</v>
          </cell>
          <cell r="AJ134">
            <v>6.6791270254132229E-2</v>
          </cell>
          <cell r="AK134" t="str">
            <v>FZ no SLR</v>
          </cell>
        </row>
        <row r="135">
          <cell r="Y135" t="str">
            <v>Single Family Detached</v>
          </cell>
          <cell r="AG135">
            <v>10</v>
          </cell>
          <cell r="AH135">
            <v>10</v>
          </cell>
          <cell r="AJ135">
            <v>8.5758170289256197E-2</v>
          </cell>
          <cell r="AK135" t="str">
            <v>FZ no SLR</v>
          </cell>
        </row>
        <row r="136">
          <cell r="Y136" t="str">
            <v>Single Family Detached</v>
          </cell>
          <cell r="AG136">
            <v>10</v>
          </cell>
          <cell r="AH136">
            <v>10</v>
          </cell>
          <cell r="AJ136">
            <v>0.11399141151790634</v>
          </cell>
          <cell r="AK136" t="str">
            <v>FZ no SLR</v>
          </cell>
        </row>
        <row r="137">
          <cell r="Y137" t="str">
            <v>Single Family Detached</v>
          </cell>
          <cell r="AG137">
            <v>10</v>
          </cell>
          <cell r="AH137">
            <v>10</v>
          </cell>
          <cell r="AJ137">
            <v>0.11409543124586777</v>
          </cell>
          <cell r="AK137" t="str">
            <v>FZ no SLR</v>
          </cell>
        </row>
        <row r="138">
          <cell r="Y138" t="str">
            <v>Single Family Detached</v>
          </cell>
          <cell r="AG138">
            <v>10</v>
          </cell>
          <cell r="AH138">
            <v>10</v>
          </cell>
          <cell r="AJ138">
            <v>8.8274325056932973E-2</v>
          </cell>
          <cell r="AK138" t="str">
            <v>FZ no SLR</v>
          </cell>
        </row>
        <row r="139">
          <cell r="Y139" t="str">
            <v>Single Family Detached</v>
          </cell>
          <cell r="AG139">
            <v>10</v>
          </cell>
          <cell r="AH139">
            <v>10</v>
          </cell>
          <cell r="AJ139">
            <v>0.11378406798301192</v>
          </cell>
          <cell r="AK139" t="str">
            <v>FZ no SLR</v>
          </cell>
        </row>
        <row r="140">
          <cell r="Y140" t="str">
            <v>Single Family Detached</v>
          </cell>
          <cell r="AG140">
            <v>10</v>
          </cell>
          <cell r="AH140">
            <v>10</v>
          </cell>
          <cell r="AJ140">
            <v>0.11226910932392102</v>
          </cell>
          <cell r="AK140" t="str">
            <v>FZ no SLR</v>
          </cell>
        </row>
        <row r="141">
          <cell r="Y141" t="str">
            <v>Single Family Detached</v>
          </cell>
          <cell r="AG141">
            <v>10</v>
          </cell>
          <cell r="AH141">
            <v>10</v>
          </cell>
          <cell r="AJ141">
            <v>0.11282325009274563</v>
          </cell>
          <cell r="AK141" t="str">
            <v>FZ no SLR</v>
          </cell>
        </row>
        <row r="142">
          <cell r="Y142" t="str">
            <v>Single Family Detached</v>
          </cell>
          <cell r="AG142">
            <v>10</v>
          </cell>
          <cell r="AH142">
            <v>10</v>
          </cell>
          <cell r="AJ142">
            <v>0.11477767510399449</v>
          </cell>
          <cell r="AK142" t="str">
            <v>FZ no SLR</v>
          </cell>
        </row>
        <row r="143">
          <cell r="Y143" t="str">
            <v>Single Family Detached</v>
          </cell>
          <cell r="AG143">
            <v>10</v>
          </cell>
          <cell r="AH143">
            <v>10</v>
          </cell>
          <cell r="AJ143">
            <v>5.6583016420339756E-2</v>
          </cell>
          <cell r="AK143" t="str">
            <v>FZ no SLR</v>
          </cell>
        </row>
        <row r="144">
          <cell r="Y144" t="str">
            <v>Single Family Detached</v>
          </cell>
          <cell r="AG144">
            <v>10</v>
          </cell>
          <cell r="AH144">
            <v>10</v>
          </cell>
          <cell r="AJ144">
            <v>5.6465702597107439E-2</v>
          </cell>
          <cell r="AK144" t="str">
            <v>FZ no SLR</v>
          </cell>
        </row>
        <row r="145">
          <cell r="Y145" t="str">
            <v>Single Family Detached</v>
          </cell>
          <cell r="AG145">
            <v>10</v>
          </cell>
          <cell r="AH145">
            <v>10</v>
          </cell>
          <cell r="AJ145">
            <v>0.1114091830996327</v>
          </cell>
          <cell r="AK145" t="str">
            <v>FZ no SLR</v>
          </cell>
        </row>
        <row r="146">
          <cell r="Y146" t="str">
            <v>Single Family Detached</v>
          </cell>
          <cell r="AG146">
            <v>10</v>
          </cell>
          <cell r="AH146">
            <v>10</v>
          </cell>
          <cell r="AJ146">
            <v>5.8198313739210285E-2</v>
          </cell>
          <cell r="AK146" t="str">
            <v>FZ no SLR</v>
          </cell>
        </row>
        <row r="147">
          <cell r="Y147" t="str">
            <v>Vacant, unbuildable</v>
          </cell>
          <cell r="AG147">
            <v>10</v>
          </cell>
          <cell r="AH147">
            <v>10</v>
          </cell>
          <cell r="AJ147">
            <v>9.4857634935720844E-2</v>
          </cell>
          <cell r="AK147" t="str">
            <v>FZ no SLR</v>
          </cell>
        </row>
        <row r="148">
          <cell r="Y148" t="str">
            <v>Single Family Detached</v>
          </cell>
          <cell r="AG148">
            <v>10</v>
          </cell>
          <cell r="AH148">
            <v>10</v>
          </cell>
          <cell r="AJ148">
            <v>8.6039733719926542E-2</v>
          </cell>
          <cell r="AK148" t="str">
            <v>FZ no SLR</v>
          </cell>
        </row>
        <row r="149">
          <cell r="Y149" t="str">
            <v>Single Family Detached</v>
          </cell>
          <cell r="AG149">
            <v>10</v>
          </cell>
          <cell r="AH149">
            <v>10</v>
          </cell>
          <cell r="AJ149">
            <v>0.12571891565633608</v>
          </cell>
          <cell r="AK149" t="str">
            <v>FZ no SLR</v>
          </cell>
        </row>
        <row r="150">
          <cell r="Y150" t="str">
            <v>Single Family Detached</v>
          </cell>
          <cell r="AG150">
            <v>10</v>
          </cell>
          <cell r="AH150">
            <v>10</v>
          </cell>
          <cell r="AJ150">
            <v>0.22466895637281908</v>
          </cell>
          <cell r="AK150" t="str">
            <v>FZ no SLR</v>
          </cell>
        </row>
        <row r="151">
          <cell r="Y151" t="str">
            <v>Single Family Detached</v>
          </cell>
          <cell r="AG151">
            <v>10</v>
          </cell>
          <cell r="AH151">
            <v>10</v>
          </cell>
          <cell r="AJ151">
            <v>0.17906429497910928</v>
          </cell>
          <cell r="AK151" t="str">
            <v>FZ no SLR</v>
          </cell>
        </row>
        <row r="152">
          <cell r="Y152" t="str">
            <v>Single Family Vacant</v>
          </cell>
          <cell r="AG152">
            <v>10</v>
          </cell>
          <cell r="AH152">
            <v>10</v>
          </cell>
          <cell r="AJ152">
            <v>0.1473869735174472</v>
          </cell>
          <cell r="AK152" t="str">
            <v>FZ no SLR</v>
          </cell>
        </row>
        <row r="153">
          <cell r="Y153" t="str">
            <v>Single Family Detached</v>
          </cell>
          <cell r="AG153">
            <v>10</v>
          </cell>
          <cell r="AH153">
            <v>10</v>
          </cell>
          <cell r="AJ153">
            <v>0.28215779230945826</v>
          </cell>
          <cell r="AK153" t="str">
            <v>FZ no SLR</v>
          </cell>
        </row>
        <row r="154">
          <cell r="Y154" t="str">
            <v>Single Family Detached</v>
          </cell>
          <cell r="AG154">
            <v>10</v>
          </cell>
          <cell r="AH154">
            <v>10</v>
          </cell>
          <cell r="AJ154">
            <v>8.6534611802571174E-2</v>
          </cell>
          <cell r="AK154" t="str">
            <v>FZ no SLR</v>
          </cell>
        </row>
        <row r="155">
          <cell r="Y155" t="str">
            <v>Single Family Detached</v>
          </cell>
          <cell r="AG155">
            <v>10</v>
          </cell>
          <cell r="AH155">
            <v>10</v>
          </cell>
          <cell r="AJ155">
            <v>8.7814969410238752E-2</v>
          </cell>
          <cell r="AK155" t="str">
            <v>FZ no SLR</v>
          </cell>
        </row>
        <row r="156">
          <cell r="Y156" t="str">
            <v>Single Family Detached</v>
          </cell>
          <cell r="AG156">
            <v>10</v>
          </cell>
          <cell r="AH156">
            <v>10</v>
          </cell>
          <cell r="AJ156">
            <v>8.5571348660009178E-2</v>
          </cell>
          <cell r="AK156" t="str">
            <v>FZ no SLR</v>
          </cell>
        </row>
        <row r="157">
          <cell r="Y157" t="str">
            <v>Single Family Detached</v>
          </cell>
          <cell r="AG157">
            <v>10</v>
          </cell>
          <cell r="AH157">
            <v>10</v>
          </cell>
          <cell r="AJ157">
            <v>8.7427254128328732E-2</v>
          </cell>
          <cell r="AK157" t="str">
            <v>FZ no SLR</v>
          </cell>
        </row>
        <row r="158">
          <cell r="Y158" t="str">
            <v>Single Family Detached</v>
          </cell>
          <cell r="AG158">
            <v>10</v>
          </cell>
          <cell r="AH158">
            <v>10</v>
          </cell>
          <cell r="AJ158">
            <v>8.269244873025712E-2</v>
          </cell>
          <cell r="AK158" t="str">
            <v>FZ no SLR</v>
          </cell>
        </row>
        <row r="159">
          <cell r="Y159" t="str">
            <v>Single Family Vacant</v>
          </cell>
          <cell r="AG159">
            <v>10</v>
          </cell>
          <cell r="AH159">
            <v>10</v>
          </cell>
          <cell r="AJ159">
            <v>7.2439864970385681E-2</v>
          </cell>
          <cell r="AK159" t="str">
            <v>FZ no SLR</v>
          </cell>
        </row>
        <row r="160">
          <cell r="Y160" t="str">
            <v>Single Family Detached</v>
          </cell>
          <cell r="AG160">
            <v>10</v>
          </cell>
          <cell r="AH160">
            <v>10</v>
          </cell>
          <cell r="AJ160">
            <v>0.11337890930945822</v>
          </cell>
          <cell r="AK160" t="str">
            <v>FZ no SLR</v>
          </cell>
        </row>
        <row r="161">
          <cell r="Y161" t="str">
            <v>Single Family Detached</v>
          </cell>
          <cell r="AG161">
            <v>10</v>
          </cell>
          <cell r="AH161">
            <v>10</v>
          </cell>
          <cell r="AJ161">
            <v>0.1095268842107438</v>
          </cell>
          <cell r="AK161" t="str">
            <v>FZ no SLR</v>
          </cell>
        </row>
        <row r="162">
          <cell r="Y162" t="str">
            <v>Single Family Detached</v>
          </cell>
          <cell r="AG162">
            <v>10</v>
          </cell>
          <cell r="AH162">
            <v>10</v>
          </cell>
          <cell r="AJ162">
            <v>0.11281409795661157</v>
          </cell>
          <cell r="AK162" t="str">
            <v>FZ no SLR</v>
          </cell>
        </row>
        <row r="163">
          <cell r="Y163" t="str">
            <v>Vacant, unbuildable</v>
          </cell>
          <cell r="AG163">
            <v>10</v>
          </cell>
          <cell r="AH163">
            <v>10</v>
          </cell>
          <cell r="AJ163">
            <v>0.11453762462213039</v>
          </cell>
          <cell r="AK163" t="str">
            <v>FZ no SLR</v>
          </cell>
        </row>
        <row r="164">
          <cell r="Y164" t="str">
            <v>Single Family Detached</v>
          </cell>
          <cell r="AG164">
            <v>10</v>
          </cell>
          <cell r="AH164">
            <v>10</v>
          </cell>
          <cell r="AJ164">
            <v>0.12371153658700643</v>
          </cell>
          <cell r="AK164" t="str">
            <v>FZ no SLR</v>
          </cell>
        </row>
        <row r="165">
          <cell r="Y165" t="str">
            <v>Single Family Detached</v>
          </cell>
          <cell r="AG165">
            <v>10</v>
          </cell>
          <cell r="AH165">
            <v>10</v>
          </cell>
          <cell r="AJ165">
            <v>0.12640971474058768</v>
          </cell>
          <cell r="AK165" t="str">
            <v>FZ no SLR</v>
          </cell>
        </row>
        <row r="166">
          <cell r="Y166" t="str">
            <v>Single Family Detached</v>
          </cell>
          <cell r="AG166">
            <v>10</v>
          </cell>
          <cell r="AH166">
            <v>10</v>
          </cell>
          <cell r="AJ166">
            <v>0.12192632817493114</v>
          </cell>
          <cell r="AK166" t="str">
            <v>FZ no SLR</v>
          </cell>
        </row>
        <row r="167">
          <cell r="Y167" t="str">
            <v>Single Family Detached</v>
          </cell>
          <cell r="AG167">
            <v>10</v>
          </cell>
          <cell r="AH167">
            <v>10</v>
          </cell>
          <cell r="AJ167">
            <v>0.13620225593709825</v>
          </cell>
          <cell r="AK167" t="str">
            <v>FZ no SLR</v>
          </cell>
        </row>
        <row r="168">
          <cell r="Y168" t="str">
            <v>Single Family Detached</v>
          </cell>
          <cell r="AG168">
            <v>10</v>
          </cell>
          <cell r="AH168">
            <v>10</v>
          </cell>
          <cell r="AJ168">
            <v>0.12645890043089991</v>
          </cell>
          <cell r="AK168" t="str">
            <v>FZ no SLR</v>
          </cell>
        </row>
        <row r="169">
          <cell r="Y169" t="str">
            <v>Single Family Detached</v>
          </cell>
          <cell r="AG169">
            <v>10</v>
          </cell>
          <cell r="AH169">
            <v>10</v>
          </cell>
          <cell r="AJ169">
            <v>0.11581887703443526</v>
          </cell>
          <cell r="AK169" t="str">
            <v>FZ no SLR</v>
          </cell>
        </row>
        <row r="170">
          <cell r="Y170" t="str">
            <v>Single Family Detached</v>
          </cell>
          <cell r="AG170">
            <v>10</v>
          </cell>
          <cell r="AH170">
            <v>10</v>
          </cell>
          <cell r="AJ170">
            <v>0.18228408615036731</v>
          </cell>
          <cell r="AK170" t="str">
            <v>FZ no SLR</v>
          </cell>
        </row>
        <row r="171">
          <cell r="Y171" t="str">
            <v>Single Family Detached</v>
          </cell>
          <cell r="AG171">
            <v>10</v>
          </cell>
          <cell r="AH171">
            <v>10</v>
          </cell>
          <cell r="AJ171">
            <v>0.11038803275183656</v>
          </cell>
          <cell r="AK171" t="str">
            <v>FZ no SLR</v>
          </cell>
        </row>
        <row r="172">
          <cell r="Y172" t="str">
            <v>Single Family Detached</v>
          </cell>
          <cell r="AG172">
            <v>10</v>
          </cell>
          <cell r="AH172">
            <v>10</v>
          </cell>
          <cell r="AJ172">
            <v>0.11430767756932966</v>
          </cell>
          <cell r="AK172" t="str">
            <v>FZ no SLR</v>
          </cell>
        </row>
        <row r="173">
          <cell r="Y173" t="str">
            <v>Single Family Detached</v>
          </cell>
          <cell r="AG173">
            <v>10</v>
          </cell>
          <cell r="AH173">
            <v>10</v>
          </cell>
          <cell r="AJ173">
            <v>2.0238896417722683</v>
          </cell>
          <cell r="AK173" t="str">
            <v>FZ no SLR</v>
          </cell>
        </row>
        <row r="174">
          <cell r="Y174" t="str">
            <v>Single Family Detached</v>
          </cell>
          <cell r="AG174">
            <v>10</v>
          </cell>
          <cell r="AH174">
            <v>10</v>
          </cell>
          <cell r="AJ174">
            <v>0.24981933591597796</v>
          </cell>
          <cell r="AK174" t="str">
            <v>FZ no SLR</v>
          </cell>
        </row>
        <row r="175">
          <cell r="Y175" t="str">
            <v>Single Family Detached</v>
          </cell>
          <cell r="AG175">
            <v>10</v>
          </cell>
          <cell r="AH175">
            <v>10</v>
          </cell>
          <cell r="AJ175">
            <v>0.20907091782185491</v>
          </cell>
          <cell r="AK175" t="str">
            <v>FZ no SLR</v>
          </cell>
        </row>
        <row r="176">
          <cell r="Y176" t="str">
            <v>Single Family Detached</v>
          </cell>
          <cell r="AG176">
            <v>10</v>
          </cell>
          <cell r="AH176">
            <v>10</v>
          </cell>
          <cell r="AJ176">
            <v>0.1742137731671258</v>
          </cell>
          <cell r="AK176" t="str">
            <v>FZ no SLR</v>
          </cell>
        </row>
        <row r="177">
          <cell r="Y177" t="str">
            <v>Single Family Detached</v>
          </cell>
          <cell r="AG177">
            <v>10</v>
          </cell>
          <cell r="AH177">
            <v>10</v>
          </cell>
          <cell r="AJ177">
            <v>0.12177343255004591</v>
          </cell>
          <cell r="AK177" t="str">
            <v>FZ no SLR</v>
          </cell>
        </row>
        <row r="178">
          <cell r="Y178" t="str">
            <v>Single Family Detached</v>
          </cell>
          <cell r="AG178">
            <v>10</v>
          </cell>
          <cell r="AH178">
            <v>10</v>
          </cell>
          <cell r="AJ178">
            <v>0.11718370849058769</v>
          </cell>
          <cell r="AK178" t="str">
            <v>FZ no SLR</v>
          </cell>
        </row>
        <row r="179">
          <cell r="Y179" t="str">
            <v>Single Family Vacant</v>
          </cell>
          <cell r="AG179">
            <v>10</v>
          </cell>
          <cell r="AH179">
            <v>10</v>
          </cell>
          <cell r="AJ179">
            <v>0.14015151397796144</v>
          </cell>
          <cell r="AK179" t="str">
            <v>FZ no SLR</v>
          </cell>
        </row>
        <row r="180">
          <cell r="Y180" t="str">
            <v>Single Family Detached</v>
          </cell>
          <cell r="AG180">
            <v>10</v>
          </cell>
          <cell r="AH180">
            <v>10</v>
          </cell>
          <cell r="AJ180">
            <v>0.11474096258103766</v>
          </cell>
          <cell r="AK180" t="str">
            <v>FZ no SLR</v>
          </cell>
        </row>
        <row r="181">
          <cell r="Y181" t="str">
            <v>Single Family Detached</v>
          </cell>
          <cell r="AG181">
            <v>10</v>
          </cell>
          <cell r="AH181">
            <v>10</v>
          </cell>
          <cell r="AJ181">
            <v>0.11305674851538107</v>
          </cell>
          <cell r="AK181" t="str">
            <v>FZ no SLR</v>
          </cell>
        </row>
        <row r="182">
          <cell r="Y182" t="str">
            <v>Single Family Vacant</v>
          </cell>
          <cell r="AG182">
            <v>10</v>
          </cell>
          <cell r="AH182">
            <v>10</v>
          </cell>
          <cell r="AJ182">
            <v>0.11511674845798898</v>
          </cell>
          <cell r="AK182" t="str">
            <v>FZ no SLR</v>
          </cell>
        </row>
        <row r="183">
          <cell r="Y183" t="str">
            <v>Single Family Detached</v>
          </cell>
          <cell r="AG183">
            <v>10</v>
          </cell>
          <cell r="AH183">
            <v>10</v>
          </cell>
          <cell r="AJ183">
            <v>0.11099549030945821</v>
          </cell>
          <cell r="AK183" t="str">
            <v>FZ no SLR</v>
          </cell>
        </row>
        <row r="184">
          <cell r="Y184" t="str">
            <v>Single Family Detached</v>
          </cell>
          <cell r="AG184">
            <v>10</v>
          </cell>
          <cell r="AH184">
            <v>10</v>
          </cell>
          <cell r="AJ184">
            <v>0.1164355632869605</v>
          </cell>
          <cell r="AK184" t="str">
            <v>FZ no SLR</v>
          </cell>
        </row>
        <row r="185">
          <cell r="Y185" t="str">
            <v>Single Family Vacant</v>
          </cell>
          <cell r="AG185">
            <v>10</v>
          </cell>
          <cell r="AH185">
            <v>10</v>
          </cell>
          <cell r="AJ185">
            <v>0.11082903909251607</v>
          </cell>
          <cell r="AK185" t="str">
            <v>FZ no SLR</v>
          </cell>
        </row>
        <row r="186">
          <cell r="Y186" t="str">
            <v>Single Family Vacant</v>
          </cell>
          <cell r="AG186">
            <v>10</v>
          </cell>
          <cell r="AH186">
            <v>10</v>
          </cell>
          <cell r="AJ186">
            <v>0.11340757333310375</v>
          </cell>
          <cell r="AK186" t="str">
            <v>FZ no SLR</v>
          </cell>
        </row>
        <row r="187">
          <cell r="Y187" t="str">
            <v>Single Family Vacant</v>
          </cell>
          <cell r="AG187">
            <v>10</v>
          </cell>
          <cell r="AH187">
            <v>10</v>
          </cell>
          <cell r="AJ187">
            <v>0.30634566367998162</v>
          </cell>
          <cell r="AK187" t="str">
            <v>FZ no SLR</v>
          </cell>
        </row>
        <row r="188">
          <cell r="Y188" t="str">
            <v>Single Family Detached</v>
          </cell>
          <cell r="AG188">
            <v>10</v>
          </cell>
          <cell r="AH188">
            <v>10</v>
          </cell>
          <cell r="AJ188">
            <v>0.17706936585445363</v>
          </cell>
          <cell r="AK188" t="str">
            <v>FZ no SLR</v>
          </cell>
        </row>
        <row r="189">
          <cell r="Y189" t="str">
            <v>Single Family Detached</v>
          </cell>
          <cell r="AG189">
            <v>10</v>
          </cell>
          <cell r="AH189">
            <v>10</v>
          </cell>
          <cell r="AJ189">
            <v>0.12599957287580349</v>
          </cell>
          <cell r="AK189" t="str">
            <v>FZ no SLR</v>
          </cell>
        </row>
        <row r="190">
          <cell r="Y190" t="str">
            <v>Single Family Detached</v>
          </cell>
          <cell r="AG190">
            <v>10</v>
          </cell>
          <cell r="AH190">
            <v>10</v>
          </cell>
          <cell r="AJ190">
            <v>0.21530358815358128</v>
          </cell>
          <cell r="AK190" t="str">
            <v>FZ no SLR</v>
          </cell>
        </row>
        <row r="191">
          <cell r="Y191" t="str">
            <v>Single Family Detached</v>
          </cell>
          <cell r="AG191">
            <v>10</v>
          </cell>
          <cell r="AH191">
            <v>10</v>
          </cell>
          <cell r="AJ191">
            <v>0.19168665586960515</v>
          </cell>
          <cell r="AK191" t="str">
            <v>FZ no SLR</v>
          </cell>
        </row>
        <row r="192">
          <cell r="Y192" t="str">
            <v>Single Family Detached</v>
          </cell>
          <cell r="AG192">
            <v>10</v>
          </cell>
          <cell r="AH192">
            <v>10</v>
          </cell>
          <cell r="AJ192">
            <v>0.17148983469949494</v>
          </cell>
          <cell r="AK192" t="str">
            <v>FZ no SLR</v>
          </cell>
        </row>
        <row r="193">
          <cell r="Y193" t="str">
            <v>Single Family Detached</v>
          </cell>
          <cell r="AG193">
            <v>10</v>
          </cell>
          <cell r="AH193">
            <v>10</v>
          </cell>
          <cell r="AJ193">
            <v>0.17200486880188245</v>
          </cell>
          <cell r="AK193" t="str">
            <v>FZ no SLR</v>
          </cell>
        </row>
        <row r="194">
          <cell r="Y194" t="str">
            <v>Single Family Detached</v>
          </cell>
          <cell r="AG194">
            <v>10</v>
          </cell>
          <cell r="AH194">
            <v>10</v>
          </cell>
          <cell r="AJ194">
            <v>0.15651303445684114</v>
          </cell>
          <cell r="AK194" t="str">
            <v>FZ no SLR</v>
          </cell>
        </row>
        <row r="195">
          <cell r="Y195" t="str">
            <v>Single Family Detached</v>
          </cell>
          <cell r="AG195">
            <v>10</v>
          </cell>
          <cell r="AH195">
            <v>10</v>
          </cell>
          <cell r="AJ195">
            <v>0.12613261531037651</v>
          </cell>
          <cell r="AK195" t="str">
            <v>FZ no SLR</v>
          </cell>
        </row>
        <row r="196">
          <cell r="Y196" t="str">
            <v>Single Family Detached</v>
          </cell>
          <cell r="AG196">
            <v>10</v>
          </cell>
          <cell r="AH196">
            <v>10</v>
          </cell>
          <cell r="AJ196">
            <v>0.1155267149084022</v>
          </cell>
          <cell r="AK196" t="str">
            <v>FZ no SLR</v>
          </cell>
        </row>
        <row r="197">
          <cell r="Y197" t="str">
            <v>Single Family Detached</v>
          </cell>
          <cell r="AG197">
            <v>10</v>
          </cell>
          <cell r="AH197">
            <v>10</v>
          </cell>
          <cell r="AJ197">
            <v>0.11773847502180901</v>
          </cell>
          <cell r="AK197" t="str">
            <v>FZ no SLR</v>
          </cell>
        </row>
        <row r="198">
          <cell r="Y198" t="str">
            <v>Vacant, unbuildable</v>
          </cell>
          <cell r="AG198">
            <v>10</v>
          </cell>
          <cell r="AH198">
            <v>10</v>
          </cell>
          <cell r="AJ198">
            <v>0.12430915333976125</v>
          </cell>
          <cell r="AK198" t="str">
            <v>FZ no SLR</v>
          </cell>
        </row>
        <row r="199">
          <cell r="Y199" t="str">
            <v>Single Family Detached</v>
          </cell>
          <cell r="AG199">
            <v>10</v>
          </cell>
          <cell r="AH199">
            <v>10</v>
          </cell>
          <cell r="AJ199">
            <v>0.19596705037213041</v>
          </cell>
          <cell r="AK199" t="str">
            <v>FZ no SLR</v>
          </cell>
        </row>
        <row r="200">
          <cell r="Y200" t="str">
            <v>Single Family Detached</v>
          </cell>
          <cell r="AG200">
            <v>10</v>
          </cell>
          <cell r="AH200">
            <v>10</v>
          </cell>
          <cell r="AJ200">
            <v>0.23105023800275484</v>
          </cell>
          <cell r="AK200" t="str">
            <v>FZ no SLR</v>
          </cell>
        </row>
        <row r="201">
          <cell r="Y201" t="str">
            <v>Vacant, unbuildable</v>
          </cell>
          <cell r="AG201">
            <v>10</v>
          </cell>
          <cell r="AH201">
            <v>10</v>
          </cell>
          <cell r="AJ201">
            <v>0.20177578972933885</v>
          </cell>
          <cell r="AK201" t="str">
            <v>FZ no SLR</v>
          </cell>
        </row>
        <row r="202">
          <cell r="Y202" t="str">
            <v>Single Family Detached</v>
          </cell>
          <cell r="AG202">
            <v>10</v>
          </cell>
          <cell r="AH202">
            <v>10</v>
          </cell>
          <cell r="AJ202">
            <v>0.13968547008011936</v>
          </cell>
          <cell r="AK202" t="str">
            <v>FZ no SLR</v>
          </cell>
        </row>
        <row r="203">
          <cell r="Y203" t="str">
            <v>Single Family Detached</v>
          </cell>
          <cell r="AG203">
            <v>10</v>
          </cell>
          <cell r="AH203">
            <v>10</v>
          </cell>
          <cell r="AJ203">
            <v>0.34638159409090907</v>
          </cell>
          <cell r="AK203" t="str">
            <v>FZ no SLR</v>
          </cell>
        </row>
        <row r="204">
          <cell r="Y204" t="str">
            <v>Single Family Detached</v>
          </cell>
          <cell r="AG204">
            <v>10</v>
          </cell>
          <cell r="AH204">
            <v>10</v>
          </cell>
          <cell r="AJ204">
            <v>0.13204160354315886</v>
          </cell>
          <cell r="AK204" t="str">
            <v>FZ no SLR</v>
          </cell>
        </row>
        <row r="205">
          <cell r="Y205" t="str">
            <v>Single Family Detached</v>
          </cell>
          <cell r="AG205">
            <v>10</v>
          </cell>
          <cell r="AH205">
            <v>10</v>
          </cell>
          <cell r="AJ205">
            <v>0.51569991578741969</v>
          </cell>
          <cell r="AK205" t="str">
            <v>FZ no SLR</v>
          </cell>
        </row>
        <row r="206">
          <cell r="Y206" t="str">
            <v>Single Family Detached</v>
          </cell>
          <cell r="AG206">
            <v>10</v>
          </cell>
          <cell r="AH206">
            <v>10</v>
          </cell>
          <cell r="AJ206">
            <v>0.1168844010275482</v>
          </cell>
          <cell r="AK206" t="str">
            <v>FZ no SLR</v>
          </cell>
        </row>
        <row r="207">
          <cell r="Y207" t="str">
            <v>Single Family Detached</v>
          </cell>
          <cell r="AG207">
            <v>10</v>
          </cell>
          <cell r="AH207">
            <v>10</v>
          </cell>
          <cell r="AJ207">
            <v>0.1141672952100551</v>
          </cell>
          <cell r="AK207" t="str">
            <v>FZ no SLR</v>
          </cell>
        </row>
        <row r="208">
          <cell r="Y208" t="str">
            <v>Single Family Vacant</v>
          </cell>
          <cell r="AG208">
            <v>10</v>
          </cell>
          <cell r="AH208">
            <v>10</v>
          </cell>
          <cell r="AJ208">
            <v>0.11153236575413224</v>
          </cell>
          <cell r="AK208" t="str">
            <v>FZ no SLR</v>
          </cell>
        </row>
        <row r="209">
          <cell r="Y209" t="str">
            <v>Single Family Detached</v>
          </cell>
          <cell r="AG209">
            <v>10</v>
          </cell>
          <cell r="AH209">
            <v>10</v>
          </cell>
          <cell r="AJ209">
            <v>0.11823517728604223</v>
          </cell>
          <cell r="AK209" t="str">
            <v>FZ no SLR</v>
          </cell>
        </row>
        <row r="210">
          <cell r="Y210" t="str">
            <v>Single Family Detached</v>
          </cell>
          <cell r="AG210">
            <v>10</v>
          </cell>
          <cell r="AH210">
            <v>10</v>
          </cell>
          <cell r="AJ210">
            <v>0.12371361044651055</v>
          </cell>
          <cell r="AK210" t="str">
            <v>FZ no SLR</v>
          </cell>
        </row>
        <row r="211">
          <cell r="Y211" t="str">
            <v>Single Family Detached</v>
          </cell>
          <cell r="AG211">
            <v>10</v>
          </cell>
          <cell r="AH211">
            <v>10</v>
          </cell>
          <cell r="AJ211">
            <v>0.15934560851377411</v>
          </cell>
          <cell r="AK211" t="str">
            <v>FZ no SLR</v>
          </cell>
        </row>
        <row r="212">
          <cell r="Y212" t="str">
            <v>Single Family Vacant</v>
          </cell>
          <cell r="AG212">
            <v>10</v>
          </cell>
          <cell r="AH212">
            <v>10</v>
          </cell>
          <cell r="AJ212">
            <v>0.1476245100601469</v>
          </cell>
          <cell r="AK212" t="str">
            <v>FZ no SLR</v>
          </cell>
        </row>
        <row r="213">
          <cell r="Y213" t="str">
            <v>Single Family Detached</v>
          </cell>
          <cell r="AG213">
            <v>10</v>
          </cell>
          <cell r="AH213">
            <v>10</v>
          </cell>
          <cell r="AJ213">
            <v>0.17852290184527089</v>
          </cell>
          <cell r="AK213" t="str">
            <v>FZ no SLR</v>
          </cell>
        </row>
        <row r="214">
          <cell r="Y214" t="str">
            <v>Single Family Detached</v>
          </cell>
          <cell r="AG214">
            <v>10</v>
          </cell>
          <cell r="AH214">
            <v>10</v>
          </cell>
          <cell r="AJ214">
            <v>0.12225888721051424</v>
          </cell>
          <cell r="AK214" t="str">
            <v>FZ no SLR</v>
          </cell>
        </row>
        <row r="215">
          <cell r="Y215" t="str">
            <v>Single Family Detached</v>
          </cell>
          <cell r="AG215">
            <v>10</v>
          </cell>
          <cell r="AH215">
            <v>10</v>
          </cell>
          <cell r="AJ215">
            <v>0.11077329742401286</v>
          </cell>
          <cell r="AK215" t="str">
            <v>FZ no SLR</v>
          </cell>
        </row>
        <row r="216">
          <cell r="Y216" t="str">
            <v>Single Family Detached</v>
          </cell>
          <cell r="AG216">
            <v>10</v>
          </cell>
          <cell r="AH216">
            <v>10</v>
          </cell>
          <cell r="AJ216">
            <v>0.11518736046395776</v>
          </cell>
          <cell r="AK216" t="str">
            <v>FZ no SLR</v>
          </cell>
        </row>
        <row r="217">
          <cell r="Y217" t="str">
            <v>Single Family Detached</v>
          </cell>
          <cell r="AG217">
            <v>10</v>
          </cell>
          <cell r="AH217">
            <v>10</v>
          </cell>
          <cell r="AJ217">
            <v>0.11150513628168045</v>
          </cell>
          <cell r="AK217" t="str">
            <v>FZ no SLR</v>
          </cell>
        </row>
        <row r="218">
          <cell r="Y218" t="str">
            <v>Single Family Detached</v>
          </cell>
          <cell r="AG218">
            <v>10</v>
          </cell>
          <cell r="AH218">
            <v>10</v>
          </cell>
          <cell r="AJ218">
            <v>0.1129672022688246</v>
          </cell>
          <cell r="AK218" t="str">
            <v>FZ no SLR</v>
          </cell>
        </row>
        <row r="219">
          <cell r="Y219" t="str">
            <v>Single Family Detached</v>
          </cell>
          <cell r="AG219">
            <v>10</v>
          </cell>
          <cell r="AH219">
            <v>10</v>
          </cell>
          <cell r="AJ219">
            <v>0.16888873497337006</v>
          </cell>
          <cell r="AK219" t="str">
            <v>FZ no SLR</v>
          </cell>
        </row>
        <row r="220">
          <cell r="Y220" t="str">
            <v>Single Family Detached</v>
          </cell>
          <cell r="AG220">
            <v>10</v>
          </cell>
          <cell r="AH220">
            <v>10</v>
          </cell>
          <cell r="AJ220">
            <v>0.1816338886955923</v>
          </cell>
          <cell r="AK220" t="str">
            <v>FZ no SLR</v>
          </cell>
        </row>
        <row r="221">
          <cell r="Y221" t="str">
            <v>Single Family Detached</v>
          </cell>
          <cell r="AG221">
            <v>10</v>
          </cell>
          <cell r="AH221">
            <v>10</v>
          </cell>
          <cell r="AJ221">
            <v>0.19425610690610651</v>
          </cell>
          <cell r="AK221" t="str">
            <v>FZ no SLR</v>
          </cell>
        </row>
        <row r="222">
          <cell r="Y222" t="str">
            <v>Single Family Detached</v>
          </cell>
          <cell r="AG222">
            <v>10</v>
          </cell>
          <cell r="AH222">
            <v>10</v>
          </cell>
          <cell r="AJ222">
            <v>0.3144563860674931</v>
          </cell>
          <cell r="AK222" t="str">
            <v>FZ no SLR</v>
          </cell>
        </row>
        <row r="223">
          <cell r="Y223" t="str">
            <v>Single Family Detached</v>
          </cell>
          <cell r="AG223">
            <v>10</v>
          </cell>
          <cell r="AH223">
            <v>10</v>
          </cell>
          <cell r="AJ223">
            <v>0.17974667151492196</v>
          </cell>
          <cell r="AK223" t="str">
            <v>FZ no SLR</v>
          </cell>
        </row>
        <row r="224">
          <cell r="Y224" t="str">
            <v>Single Family Detached</v>
          </cell>
          <cell r="AG224">
            <v>10</v>
          </cell>
          <cell r="AH224">
            <v>10</v>
          </cell>
          <cell r="AJ224">
            <v>0.13204067373714418</v>
          </cell>
          <cell r="AK224" t="str">
            <v>FZ no SLR</v>
          </cell>
        </row>
        <row r="225">
          <cell r="Y225" t="str">
            <v>Single Family Vacant</v>
          </cell>
          <cell r="AG225">
            <v>10</v>
          </cell>
          <cell r="AH225">
            <v>10</v>
          </cell>
          <cell r="AJ225">
            <v>0.13471579450413224</v>
          </cell>
          <cell r="AK225" t="str">
            <v>FZ no SLR</v>
          </cell>
        </row>
        <row r="226">
          <cell r="Y226" t="str">
            <v>Single Family Detached</v>
          </cell>
          <cell r="AG226">
            <v>10</v>
          </cell>
          <cell r="AH226">
            <v>10</v>
          </cell>
          <cell r="AJ226">
            <v>0.1297797503117539</v>
          </cell>
          <cell r="AK226" t="str">
            <v>FZ no SLR</v>
          </cell>
        </row>
        <row r="227">
          <cell r="Y227" t="str">
            <v>Single Family Detached</v>
          </cell>
          <cell r="AG227">
            <v>10</v>
          </cell>
          <cell r="AH227">
            <v>10</v>
          </cell>
          <cell r="AJ227">
            <v>0.14983991237190084</v>
          </cell>
          <cell r="AK227" t="str">
            <v>FZ no SLR</v>
          </cell>
        </row>
        <row r="228">
          <cell r="Y228" t="str">
            <v>Single Family Detached</v>
          </cell>
          <cell r="AG228">
            <v>10</v>
          </cell>
          <cell r="AH228">
            <v>10</v>
          </cell>
          <cell r="AJ228">
            <v>0.2252806969134527</v>
          </cell>
          <cell r="AK228" t="str">
            <v>FZ no SLR</v>
          </cell>
        </row>
        <row r="229">
          <cell r="Y229" t="str">
            <v>Single Family Detached</v>
          </cell>
          <cell r="AG229">
            <v>10</v>
          </cell>
          <cell r="AH229">
            <v>10</v>
          </cell>
          <cell r="AJ229">
            <v>0.30048269649449039</v>
          </cell>
          <cell r="AK229" t="str">
            <v>FZ no SLR</v>
          </cell>
        </row>
        <row r="230">
          <cell r="Y230" t="str">
            <v>Single Family Detached</v>
          </cell>
          <cell r="AG230">
            <v>10</v>
          </cell>
          <cell r="AH230">
            <v>10</v>
          </cell>
          <cell r="AJ230">
            <v>9.5651025207529855E-2</v>
          </cell>
          <cell r="AK230" t="str">
            <v>FZ no SLR</v>
          </cell>
        </row>
        <row r="231">
          <cell r="Y231" t="str">
            <v>Single Family Detached</v>
          </cell>
          <cell r="AG231">
            <v>10</v>
          </cell>
          <cell r="AH231">
            <v>10</v>
          </cell>
          <cell r="AJ231">
            <v>0.10306502920546372</v>
          </cell>
          <cell r="AK231" t="str">
            <v>FZ no SLR</v>
          </cell>
        </row>
        <row r="232">
          <cell r="Y232" t="str">
            <v>Single Family Detached</v>
          </cell>
          <cell r="AG232">
            <v>10</v>
          </cell>
          <cell r="AH232">
            <v>10</v>
          </cell>
          <cell r="AJ232">
            <v>0.25187210436409552</v>
          </cell>
          <cell r="AK232" t="str">
            <v>FZ no SLR</v>
          </cell>
        </row>
        <row r="233">
          <cell r="Y233" t="str">
            <v>Single Family Detached</v>
          </cell>
          <cell r="AG233">
            <v>10</v>
          </cell>
          <cell r="AH233">
            <v>10</v>
          </cell>
          <cell r="AJ233">
            <v>0.1497497042848944</v>
          </cell>
          <cell r="AK233" t="str">
            <v>FZ no SLR</v>
          </cell>
        </row>
        <row r="234">
          <cell r="Y234" t="str">
            <v>Single Family Detached</v>
          </cell>
          <cell r="AG234">
            <v>10</v>
          </cell>
          <cell r="AH234">
            <v>10</v>
          </cell>
          <cell r="AJ234">
            <v>0.14881638615495868</v>
          </cell>
          <cell r="AK234" t="str">
            <v>FZ no SLR</v>
          </cell>
        </row>
        <row r="235">
          <cell r="Y235" t="str">
            <v>Single Family Detached</v>
          </cell>
          <cell r="AG235">
            <v>10</v>
          </cell>
          <cell r="AH235">
            <v>10</v>
          </cell>
          <cell r="AJ235">
            <v>0.14226039216253444</v>
          </cell>
          <cell r="AK235" t="str">
            <v>FZ no SLR</v>
          </cell>
        </row>
        <row r="236">
          <cell r="Y236" t="str">
            <v>Single Family Detached</v>
          </cell>
          <cell r="AG236">
            <v>10</v>
          </cell>
          <cell r="AH236">
            <v>10</v>
          </cell>
          <cell r="AJ236">
            <v>0.1326136824134527</v>
          </cell>
          <cell r="AK236" t="str">
            <v>FZ no SLR</v>
          </cell>
        </row>
        <row r="237">
          <cell r="Y237" t="str">
            <v>Single Family Detached</v>
          </cell>
          <cell r="AG237">
            <v>10</v>
          </cell>
          <cell r="AH237">
            <v>10</v>
          </cell>
          <cell r="AJ237">
            <v>0.11709140257713498</v>
          </cell>
          <cell r="AK237" t="str">
            <v>FZ no SLR</v>
          </cell>
        </row>
        <row r="238">
          <cell r="Y238" t="str">
            <v>Single Family Detached</v>
          </cell>
          <cell r="AG238">
            <v>10</v>
          </cell>
          <cell r="AH238">
            <v>10</v>
          </cell>
          <cell r="AJ238">
            <v>0.11531810238636364</v>
          </cell>
          <cell r="AK238" t="str">
            <v>FZ no SLR</v>
          </cell>
        </row>
        <row r="239">
          <cell r="Y239" t="str">
            <v>Single Family Detached</v>
          </cell>
          <cell r="AG239">
            <v>10</v>
          </cell>
          <cell r="AH239">
            <v>10</v>
          </cell>
          <cell r="AJ239">
            <v>0.11957334892722682</v>
          </cell>
          <cell r="AK239" t="str">
            <v>FZ no SLR</v>
          </cell>
        </row>
        <row r="240">
          <cell r="Y240" t="str">
            <v>Single Family Detached</v>
          </cell>
          <cell r="AG240">
            <v>10</v>
          </cell>
          <cell r="AH240">
            <v>10</v>
          </cell>
          <cell r="AJ240">
            <v>0.11845641441712579</v>
          </cell>
          <cell r="AK240" t="str">
            <v>FZ no SLR</v>
          </cell>
        </row>
        <row r="241">
          <cell r="Y241" t="str">
            <v>Single Family Detached</v>
          </cell>
          <cell r="AG241">
            <v>10</v>
          </cell>
          <cell r="AH241">
            <v>10</v>
          </cell>
          <cell r="AJ241">
            <v>0.11816027963820018</v>
          </cell>
          <cell r="AK241" t="str">
            <v>FZ no SLR</v>
          </cell>
        </row>
        <row r="242">
          <cell r="Y242" t="str">
            <v>Single Family Detached</v>
          </cell>
          <cell r="AG242">
            <v>10</v>
          </cell>
          <cell r="AH242">
            <v>10</v>
          </cell>
          <cell r="AJ242">
            <v>0.13765581691896234</v>
          </cell>
          <cell r="AK242" t="str">
            <v>FZ no SLR</v>
          </cell>
        </row>
        <row r="243">
          <cell r="Y243" t="str">
            <v>Single Family Detached</v>
          </cell>
          <cell r="AG243">
            <v>10</v>
          </cell>
          <cell r="AH243">
            <v>10</v>
          </cell>
          <cell r="AJ243">
            <v>0.14087474254086318</v>
          </cell>
          <cell r="AK243" t="str">
            <v>FZ no SLR</v>
          </cell>
        </row>
        <row r="244">
          <cell r="Y244" t="str">
            <v>Single Family Detached</v>
          </cell>
          <cell r="AG244">
            <v>10</v>
          </cell>
          <cell r="AH244">
            <v>10</v>
          </cell>
          <cell r="AJ244">
            <v>0.13534293118617996</v>
          </cell>
          <cell r="AK244" t="str">
            <v>FZ no SLR</v>
          </cell>
        </row>
        <row r="245">
          <cell r="Y245" t="str">
            <v>Single Family Detached</v>
          </cell>
          <cell r="AG245">
            <v>10</v>
          </cell>
          <cell r="AH245">
            <v>10</v>
          </cell>
          <cell r="AJ245">
            <v>0.13240861718572086</v>
          </cell>
          <cell r="AK245" t="str">
            <v>FZ no SLR</v>
          </cell>
        </row>
        <row r="246">
          <cell r="Y246" t="str">
            <v>Single Family Detached</v>
          </cell>
          <cell r="AG246">
            <v>10</v>
          </cell>
          <cell r="AH246">
            <v>10</v>
          </cell>
          <cell r="AJ246">
            <v>0.20286432450550965</v>
          </cell>
          <cell r="AK246" t="str">
            <v>FZ no SLR</v>
          </cell>
        </row>
        <row r="247">
          <cell r="Y247" t="str">
            <v>Single Family Detached</v>
          </cell>
          <cell r="AG247">
            <v>10</v>
          </cell>
          <cell r="AH247">
            <v>10</v>
          </cell>
          <cell r="AJ247">
            <v>0.2588530090863177</v>
          </cell>
          <cell r="AK247" t="str">
            <v>FZ no SLR</v>
          </cell>
        </row>
        <row r="248">
          <cell r="Y248" t="str">
            <v>Single Family Detached</v>
          </cell>
          <cell r="AG248">
            <v>10</v>
          </cell>
          <cell r="AH248">
            <v>10</v>
          </cell>
          <cell r="AJ248">
            <v>0.12503954619972452</v>
          </cell>
          <cell r="AK248" t="str">
            <v>FZ no SLR</v>
          </cell>
        </row>
        <row r="249">
          <cell r="Y249" t="str">
            <v>Single Family Detached</v>
          </cell>
          <cell r="AG249">
            <v>10</v>
          </cell>
          <cell r="AH249">
            <v>10</v>
          </cell>
          <cell r="AJ249">
            <v>0.11817967311685032</v>
          </cell>
          <cell r="AK249" t="str">
            <v>FZ no SLR</v>
          </cell>
        </row>
        <row r="250">
          <cell r="Y250" t="str">
            <v>Single Family Detached</v>
          </cell>
          <cell r="AG250">
            <v>10</v>
          </cell>
          <cell r="AH250">
            <v>10</v>
          </cell>
          <cell r="AJ250">
            <v>0.1190194932637741</v>
          </cell>
          <cell r="AK250" t="str">
            <v>FZ no SLR</v>
          </cell>
        </row>
        <row r="251">
          <cell r="Y251" t="str">
            <v>Single Family Detached</v>
          </cell>
          <cell r="AG251">
            <v>10</v>
          </cell>
          <cell r="AH251">
            <v>10</v>
          </cell>
          <cell r="AJ251">
            <v>0.12489225375022957</v>
          </cell>
          <cell r="AK251" t="str">
            <v>FZ no SLR</v>
          </cell>
        </row>
        <row r="252">
          <cell r="Y252" t="str">
            <v>Single Family Detached</v>
          </cell>
          <cell r="AG252">
            <v>10</v>
          </cell>
          <cell r="AH252">
            <v>10</v>
          </cell>
          <cell r="AJ252">
            <v>0.24439781395546376</v>
          </cell>
          <cell r="AK252" t="str">
            <v>FZ no SLR</v>
          </cell>
        </row>
        <row r="253">
          <cell r="Y253" t="str">
            <v>Single Family Detached</v>
          </cell>
          <cell r="AG253">
            <v>10</v>
          </cell>
          <cell r="AH253">
            <v>10</v>
          </cell>
          <cell r="AJ253">
            <v>3.9962781032828278E-2</v>
          </cell>
          <cell r="AK253" t="str">
            <v>FZ no SLR</v>
          </cell>
        </row>
        <row r="254">
          <cell r="Y254" t="str">
            <v>Single Family Detached</v>
          </cell>
          <cell r="AG254">
            <v>10</v>
          </cell>
          <cell r="AH254">
            <v>10</v>
          </cell>
          <cell r="AJ254">
            <v>3.4457148305785126E-2</v>
          </cell>
          <cell r="AK254" t="str">
            <v>FZ no SLR</v>
          </cell>
        </row>
        <row r="255">
          <cell r="Y255" t="str">
            <v>Single Family Detached</v>
          </cell>
          <cell r="AG255">
            <v>10</v>
          </cell>
          <cell r="AH255">
            <v>10</v>
          </cell>
          <cell r="AJ255">
            <v>3.4349266844352619E-2</v>
          </cell>
          <cell r="AK255" t="str">
            <v>FZ no SLR</v>
          </cell>
        </row>
        <row r="256">
          <cell r="Y256" t="str">
            <v>Vacant, unbuildable</v>
          </cell>
          <cell r="AG256">
            <v>10</v>
          </cell>
          <cell r="AH256">
            <v>10</v>
          </cell>
          <cell r="AJ256">
            <v>3.289885062190083E-2</v>
          </cell>
          <cell r="AK256" t="str">
            <v>FZ no SLR</v>
          </cell>
        </row>
        <row r="257">
          <cell r="Y257" t="str">
            <v>Single Family Detached</v>
          </cell>
          <cell r="AG257">
            <v>10</v>
          </cell>
          <cell r="AH257">
            <v>10</v>
          </cell>
          <cell r="AJ257">
            <v>4.2583097655417818E-2</v>
          </cell>
          <cell r="AK257" t="str">
            <v>FZ no SLR</v>
          </cell>
        </row>
        <row r="258">
          <cell r="Y258" t="str">
            <v>Single Family Detached</v>
          </cell>
          <cell r="AG258">
            <v>10</v>
          </cell>
          <cell r="AH258">
            <v>10</v>
          </cell>
          <cell r="AJ258">
            <v>3.3882381921028465E-2</v>
          </cell>
          <cell r="AK258" t="str">
            <v>FZ no SLR</v>
          </cell>
        </row>
        <row r="259">
          <cell r="Y259" t="str">
            <v>Single Family Detached</v>
          </cell>
          <cell r="AG259">
            <v>10</v>
          </cell>
          <cell r="AH259">
            <v>10</v>
          </cell>
          <cell r="AJ259">
            <v>3.305951157943067E-2</v>
          </cell>
          <cell r="AK259" t="str">
            <v>FZ no SLR</v>
          </cell>
        </row>
        <row r="260">
          <cell r="Y260" t="str">
            <v>Single Family Detached</v>
          </cell>
          <cell r="AG260">
            <v>10</v>
          </cell>
          <cell r="AH260">
            <v>10</v>
          </cell>
          <cell r="AJ260">
            <v>3.2942777304407714E-2</v>
          </cell>
          <cell r="AK260" t="str">
            <v>FZ no SLR</v>
          </cell>
        </row>
        <row r="261">
          <cell r="Y261" t="str">
            <v>Single Family Detached</v>
          </cell>
          <cell r="AG261">
            <v>10</v>
          </cell>
          <cell r="AH261">
            <v>10</v>
          </cell>
          <cell r="AJ261">
            <v>3.6248254979797979E-2</v>
          </cell>
          <cell r="AK261" t="str">
            <v>FZ no SLR</v>
          </cell>
        </row>
        <row r="262">
          <cell r="Y262" t="str">
            <v>Single Family Detached</v>
          </cell>
          <cell r="AG262">
            <v>10</v>
          </cell>
          <cell r="AH262">
            <v>10</v>
          </cell>
          <cell r="AJ262">
            <v>3.0885771543158861E-2</v>
          </cell>
          <cell r="AK262" t="str">
            <v>FZ no SLR</v>
          </cell>
        </row>
        <row r="263">
          <cell r="Y263" t="str">
            <v>Single Family Detached</v>
          </cell>
          <cell r="AG263">
            <v>10</v>
          </cell>
          <cell r="AH263">
            <v>10</v>
          </cell>
          <cell r="AJ263">
            <v>3.3777322814508723E-2</v>
          </cell>
          <cell r="AK263" t="str">
            <v>FZ no SLR</v>
          </cell>
        </row>
        <row r="264">
          <cell r="Y264" t="str">
            <v>Single Family Detached</v>
          </cell>
          <cell r="AG264">
            <v>10</v>
          </cell>
          <cell r="AH264">
            <v>10</v>
          </cell>
          <cell r="AJ264">
            <v>3.2650426876951327E-2</v>
          </cell>
          <cell r="AK264" t="str">
            <v>FZ no SLR</v>
          </cell>
        </row>
        <row r="265">
          <cell r="Y265" t="str">
            <v>Single Family Detached</v>
          </cell>
          <cell r="AG265">
            <v>10</v>
          </cell>
          <cell r="AH265">
            <v>10</v>
          </cell>
          <cell r="AJ265">
            <v>4.3296514178833789E-2</v>
          </cell>
          <cell r="AK265" t="str">
            <v>FZ no SLR</v>
          </cell>
        </row>
        <row r="266">
          <cell r="Y266" t="str">
            <v>Single Family Detached</v>
          </cell>
          <cell r="AG266">
            <v>10</v>
          </cell>
          <cell r="AH266">
            <v>10</v>
          </cell>
          <cell r="AJ266">
            <v>3.6469563608126726E-2</v>
          </cell>
          <cell r="AK266" t="str">
            <v>FZ no SLR</v>
          </cell>
        </row>
        <row r="267">
          <cell r="Y267" t="str">
            <v>Single Family Detached</v>
          </cell>
          <cell r="AG267">
            <v>10</v>
          </cell>
          <cell r="AH267">
            <v>10</v>
          </cell>
          <cell r="AJ267">
            <v>3.2841915049816345E-2</v>
          </cell>
          <cell r="AK267" t="str">
            <v>FZ no SLR</v>
          </cell>
        </row>
        <row r="268">
          <cell r="Y268" t="str">
            <v>Single Family Detached</v>
          </cell>
          <cell r="AG268">
            <v>10</v>
          </cell>
          <cell r="AH268">
            <v>10</v>
          </cell>
          <cell r="AJ268">
            <v>3.3421212186409546E-2</v>
          </cell>
          <cell r="AK268" t="str">
            <v>FZ no SLR</v>
          </cell>
        </row>
        <row r="269">
          <cell r="Y269" t="str">
            <v>Single Family Detached</v>
          </cell>
          <cell r="AG269">
            <v>10</v>
          </cell>
          <cell r="AH269">
            <v>10</v>
          </cell>
          <cell r="AJ269">
            <v>3.2041362049586776E-2</v>
          </cell>
          <cell r="AK269" t="str">
            <v>FZ no SLR</v>
          </cell>
        </row>
        <row r="270">
          <cell r="Y270" t="str">
            <v>Single Family Detached</v>
          </cell>
          <cell r="AG270">
            <v>10</v>
          </cell>
          <cell r="AH270">
            <v>10</v>
          </cell>
          <cell r="AJ270">
            <v>3.4109081686409547E-2</v>
          </cell>
          <cell r="AK270" t="str">
            <v>FZ no SLR</v>
          </cell>
        </row>
        <row r="271">
          <cell r="Y271" t="str">
            <v>Single Family Detached</v>
          </cell>
          <cell r="AG271">
            <v>10</v>
          </cell>
          <cell r="AH271">
            <v>10</v>
          </cell>
          <cell r="AJ271">
            <v>3.729017091322314E-2</v>
          </cell>
          <cell r="AK271" t="str">
            <v>FZ no SLR</v>
          </cell>
        </row>
        <row r="272">
          <cell r="Y272" t="str">
            <v>Single Family Detached</v>
          </cell>
          <cell r="AG272">
            <v>10</v>
          </cell>
          <cell r="AH272">
            <v>10</v>
          </cell>
          <cell r="AJ272">
            <v>3.8211632793847566E-2</v>
          </cell>
          <cell r="AK272" t="str">
            <v>FZ no SLR</v>
          </cell>
        </row>
        <row r="273">
          <cell r="Y273" t="str">
            <v>Vacant, unbuildable</v>
          </cell>
          <cell r="AG273">
            <v>10</v>
          </cell>
          <cell r="AH273">
            <v>10</v>
          </cell>
          <cell r="AJ273">
            <v>3.2384948620752987E-2</v>
          </cell>
          <cell r="AK273" t="str">
            <v>FZ no SLR</v>
          </cell>
        </row>
        <row r="274">
          <cell r="Y274" t="str">
            <v>Single Family Detached</v>
          </cell>
          <cell r="AG274">
            <v>10</v>
          </cell>
          <cell r="AH274">
            <v>10</v>
          </cell>
          <cell r="AJ274">
            <v>4.08221689295225E-2</v>
          </cell>
          <cell r="AK274" t="str">
            <v>FZ no SLR</v>
          </cell>
        </row>
        <row r="275">
          <cell r="Y275" t="str">
            <v>Single Family Detached</v>
          </cell>
          <cell r="AG275">
            <v>10</v>
          </cell>
          <cell r="AH275">
            <v>10</v>
          </cell>
          <cell r="AJ275">
            <v>3.540091718755739E-2</v>
          </cell>
          <cell r="AK275" t="str">
            <v>FZ no SLR</v>
          </cell>
        </row>
        <row r="276">
          <cell r="Y276" t="str">
            <v>Single Family Detached</v>
          </cell>
          <cell r="AG276">
            <v>10</v>
          </cell>
          <cell r="AH276">
            <v>10</v>
          </cell>
          <cell r="AJ276">
            <v>3.4141292117309457E-2</v>
          </cell>
          <cell r="AK276" t="str">
            <v>FZ no SLR</v>
          </cell>
        </row>
        <row r="277">
          <cell r="Y277" t="str">
            <v>Single Family Detached</v>
          </cell>
          <cell r="AG277">
            <v>10</v>
          </cell>
          <cell r="AH277">
            <v>10</v>
          </cell>
          <cell r="AJ277">
            <v>3.3424099172635446E-2</v>
          </cell>
          <cell r="AK277" t="str">
            <v>FZ no SLR</v>
          </cell>
        </row>
        <row r="278">
          <cell r="Y278" t="str">
            <v>Single Family Detached</v>
          </cell>
          <cell r="AG278">
            <v>10</v>
          </cell>
          <cell r="AH278">
            <v>10</v>
          </cell>
          <cell r="AJ278">
            <v>4.4390052830119375E-2</v>
          </cell>
          <cell r="AK278" t="str">
            <v>FZ no SLR</v>
          </cell>
        </row>
        <row r="279">
          <cell r="Y279" t="str">
            <v>Single Family Detached</v>
          </cell>
          <cell r="AG279">
            <v>10</v>
          </cell>
          <cell r="AH279">
            <v>10</v>
          </cell>
          <cell r="AJ279">
            <v>3.5053403551423327E-2</v>
          </cell>
          <cell r="AK279" t="str">
            <v>FZ no SLR</v>
          </cell>
        </row>
        <row r="280">
          <cell r="Y280" t="str">
            <v>Single Family Detached</v>
          </cell>
          <cell r="AG280">
            <v>10</v>
          </cell>
          <cell r="AH280">
            <v>10</v>
          </cell>
          <cell r="AJ280">
            <v>3.3453455285353539E-2</v>
          </cell>
          <cell r="AK280" t="str">
            <v>FZ no SLR</v>
          </cell>
        </row>
        <row r="281">
          <cell r="Y281" t="str">
            <v>Single Family Detached</v>
          </cell>
          <cell r="AG281">
            <v>10</v>
          </cell>
          <cell r="AH281">
            <v>10</v>
          </cell>
          <cell r="AJ281">
            <v>3.1041035997704317E-2</v>
          </cell>
          <cell r="AK281" t="str">
            <v>FZ no SLR</v>
          </cell>
        </row>
        <row r="282">
          <cell r="Y282" t="str">
            <v>Single Family Detached</v>
          </cell>
          <cell r="AG282">
            <v>10</v>
          </cell>
          <cell r="AH282">
            <v>10</v>
          </cell>
          <cell r="AJ282">
            <v>3.5160045276170795E-2</v>
          </cell>
          <cell r="AK282" t="str">
            <v>FZ no SLR</v>
          </cell>
        </row>
        <row r="283">
          <cell r="Y283" t="str">
            <v>Single Family Detached</v>
          </cell>
          <cell r="AG283">
            <v>10</v>
          </cell>
          <cell r="AH283">
            <v>10</v>
          </cell>
          <cell r="AJ283">
            <v>3.4090672688934801E-2</v>
          </cell>
          <cell r="AK283" t="str">
            <v>FZ no SLR</v>
          </cell>
        </row>
        <row r="284">
          <cell r="Y284" t="str">
            <v>Single Family Detached</v>
          </cell>
          <cell r="AG284">
            <v>10</v>
          </cell>
          <cell r="AH284">
            <v>10</v>
          </cell>
          <cell r="AJ284">
            <v>3.2283482112718094E-2</v>
          </cell>
          <cell r="AK284" t="str">
            <v>FZ no SLR</v>
          </cell>
        </row>
        <row r="285">
          <cell r="Y285" t="str">
            <v>Single Family Detached</v>
          </cell>
          <cell r="AG285">
            <v>10</v>
          </cell>
          <cell r="AH285">
            <v>10</v>
          </cell>
          <cell r="AJ285">
            <v>3.282721803328742E-2</v>
          </cell>
          <cell r="AK285" t="str">
            <v>FZ no SLR</v>
          </cell>
        </row>
        <row r="286">
          <cell r="Y286" t="str">
            <v>Single Family Detached</v>
          </cell>
          <cell r="AG286">
            <v>10</v>
          </cell>
          <cell r="AH286">
            <v>10</v>
          </cell>
          <cell r="AJ286">
            <v>3.4615830846877867E-2</v>
          </cell>
          <cell r="AK286" t="str">
            <v>FZ no SLR</v>
          </cell>
        </row>
        <row r="287">
          <cell r="Y287" t="str">
            <v>Single Family Detached</v>
          </cell>
          <cell r="AG287">
            <v>10</v>
          </cell>
          <cell r="AH287">
            <v>10</v>
          </cell>
          <cell r="AJ287">
            <v>3.2068962609274568E-2</v>
          </cell>
          <cell r="AK287" t="str">
            <v>FZ no SLR</v>
          </cell>
        </row>
        <row r="288">
          <cell r="Y288" t="str">
            <v>Single Family Detached</v>
          </cell>
          <cell r="AG288">
            <v>10</v>
          </cell>
          <cell r="AH288">
            <v>10</v>
          </cell>
          <cell r="AJ288">
            <v>3.5850707508953167E-2</v>
          </cell>
          <cell r="AK288" t="str">
            <v>FZ no SLR</v>
          </cell>
        </row>
        <row r="289">
          <cell r="Y289" t="str">
            <v>Single Family Detached</v>
          </cell>
          <cell r="AG289">
            <v>10</v>
          </cell>
          <cell r="AH289">
            <v>10</v>
          </cell>
          <cell r="AJ289">
            <v>3.4391491358126719E-2</v>
          </cell>
          <cell r="AK289" t="str">
            <v>FZ no SLR</v>
          </cell>
        </row>
        <row r="290">
          <cell r="Y290" t="str">
            <v>Single Family Detached</v>
          </cell>
          <cell r="AG290">
            <v>10</v>
          </cell>
          <cell r="AH290">
            <v>10</v>
          </cell>
          <cell r="AJ290">
            <v>3.5756200016069793E-2</v>
          </cell>
          <cell r="AK290" t="str">
            <v>FZ no SLR</v>
          </cell>
        </row>
        <row r="291">
          <cell r="Y291" t="str">
            <v>Single Family Detached</v>
          </cell>
          <cell r="AG291">
            <v>10</v>
          </cell>
          <cell r="AH291">
            <v>10</v>
          </cell>
          <cell r="AJ291">
            <v>3.3318336376492196E-2</v>
          </cell>
          <cell r="AK291" t="str">
            <v>FZ no SLR</v>
          </cell>
        </row>
        <row r="292">
          <cell r="Y292" t="str">
            <v>Single Family Detached</v>
          </cell>
          <cell r="AG292">
            <v>10</v>
          </cell>
          <cell r="AH292">
            <v>10</v>
          </cell>
          <cell r="AJ292">
            <v>3.2001605627640033E-2</v>
          </cell>
          <cell r="AK292" t="str">
            <v>FZ no SLR</v>
          </cell>
        </row>
        <row r="293">
          <cell r="Y293" t="str">
            <v>Single Family Detached</v>
          </cell>
          <cell r="AG293">
            <v>10</v>
          </cell>
          <cell r="AH293">
            <v>10</v>
          </cell>
          <cell r="AJ293">
            <v>3.2618499367309456E-2</v>
          </cell>
          <cell r="AK293" t="str">
            <v>FZ no SLR</v>
          </cell>
        </row>
        <row r="294">
          <cell r="Y294" t="str">
            <v>Single Family Detached</v>
          </cell>
          <cell r="AG294">
            <v>10</v>
          </cell>
          <cell r="AH294">
            <v>10</v>
          </cell>
          <cell r="AJ294">
            <v>3.3381787960514234E-2</v>
          </cell>
          <cell r="AK294" t="str">
            <v>FZ no SLR</v>
          </cell>
        </row>
        <row r="295">
          <cell r="Y295" t="str">
            <v>Single Family Detached</v>
          </cell>
          <cell r="AG295">
            <v>10</v>
          </cell>
          <cell r="AH295">
            <v>10</v>
          </cell>
          <cell r="AJ295">
            <v>3.082778057529844E-2</v>
          </cell>
          <cell r="AK295" t="str">
            <v>FZ no SLR</v>
          </cell>
        </row>
        <row r="296">
          <cell r="Y296" t="str">
            <v>Single Family Detached</v>
          </cell>
          <cell r="AG296">
            <v>10</v>
          </cell>
          <cell r="AH296">
            <v>10</v>
          </cell>
          <cell r="AJ296">
            <v>3.3074902469926538E-2</v>
          </cell>
          <cell r="AK296" t="str">
            <v>FZ no SLR</v>
          </cell>
        </row>
        <row r="297">
          <cell r="Y297" t="str">
            <v>Single Family Detached</v>
          </cell>
          <cell r="AG297">
            <v>10</v>
          </cell>
          <cell r="AH297">
            <v>10</v>
          </cell>
          <cell r="AJ297">
            <v>3.1729486775252523E-2</v>
          </cell>
          <cell r="AK297" t="str">
            <v>FZ no SLR</v>
          </cell>
        </row>
        <row r="298">
          <cell r="Y298" t="str">
            <v>Single Family Detached</v>
          </cell>
          <cell r="AG298">
            <v>10</v>
          </cell>
          <cell r="AH298">
            <v>10</v>
          </cell>
          <cell r="AJ298">
            <v>3.4238039317952253E-2</v>
          </cell>
          <cell r="AK298" t="str">
            <v>FZ no SLR</v>
          </cell>
        </row>
        <row r="299">
          <cell r="Y299" t="str">
            <v>Single Family Detached</v>
          </cell>
          <cell r="AG299">
            <v>10</v>
          </cell>
          <cell r="AH299">
            <v>10</v>
          </cell>
          <cell r="AJ299">
            <v>3.7680008432277319E-2</v>
          </cell>
          <cell r="AK299" t="str">
            <v>FZ no SLR</v>
          </cell>
        </row>
        <row r="300">
          <cell r="Y300" t="str">
            <v>Single Family Detached</v>
          </cell>
          <cell r="AG300">
            <v>10</v>
          </cell>
          <cell r="AH300">
            <v>10</v>
          </cell>
          <cell r="AJ300">
            <v>3.1794493787878783E-2</v>
          </cell>
          <cell r="AK300" t="str">
            <v>FZ no SLR</v>
          </cell>
        </row>
        <row r="301">
          <cell r="Y301" t="str">
            <v>Single Family Detached</v>
          </cell>
          <cell r="AG301">
            <v>10</v>
          </cell>
          <cell r="AH301">
            <v>10</v>
          </cell>
          <cell r="AJ301">
            <v>3.4135774297750228E-2</v>
          </cell>
          <cell r="AK301" t="str">
            <v>FZ no SLR</v>
          </cell>
        </row>
        <row r="302">
          <cell r="Y302" t="str">
            <v>Single Family Detached</v>
          </cell>
          <cell r="AG302">
            <v>10</v>
          </cell>
          <cell r="AH302">
            <v>10</v>
          </cell>
          <cell r="AJ302">
            <v>3.3521147720615242E-2</v>
          </cell>
          <cell r="AK302" t="str">
            <v>FZ no SLR</v>
          </cell>
        </row>
        <row r="303">
          <cell r="Y303" t="str">
            <v>Single Family Detached</v>
          </cell>
          <cell r="AG303">
            <v>10</v>
          </cell>
          <cell r="AH303">
            <v>10</v>
          </cell>
          <cell r="AJ303">
            <v>3.3864000650367307E-2</v>
          </cell>
          <cell r="AK303" t="str">
            <v>FZ no SLR</v>
          </cell>
        </row>
        <row r="304">
          <cell r="Y304" t="str">
            <v>Single Family Detached</v>
          </cell>
          <cell r="AG304">
            <v>10</v>
          </cell>
          <cell r="AH304">
            <v>10</v>
          </cell>
          <cell r="AJ304">
            <v>3.5081522210055095E-2</v>
          </cell>
          <cell r="AK304" t="str">
            <v>FZ no SLR</v>
          </cell>
        </row>
        <row r="305">
          <cell r="Y305" t="str">
            <v>Single Family Detached</v>
          </cell>
          <cell r="AG305">
            <v>10</v>
          </cell>
          <cell r="AH305">
            <v>10</v>
          </cell>
          <cell r="AJ305">
            <v>3.2706594889577591E-2</v>
          </cell>
          <cell r="AK305" t="str">
            <v>FZ no SLR</v>
          </cell>
        </row>
        <row r="306">
          <cell r="Y306" t="str">
            <v>Single Family Detached</v>
          </cell>
          <cell r="AG306">
            <v>10</v>
          </cell>
          <cell r="AH306">
            <v>10</v>
          </cell>
          <cell r="AJ306">
            <v>3.201078425757576E-2</v>
          </cell>
          <cell r="AK306" t="str">
            <v>FZ no SLR</v>
          </cell>
        </row>
        <row r="307">
          <cell r="Y307" t="str">
            <v>Single Family Detached</v>
          </cell>
          <cell r="AG307">
            <v>10</v>
          </cell>
          <cell r="AH307">
            <v>10</v>
          </cell>
          <cell r="AJ307">
            <v>3.3135272555555553E-2</v>
          </cell>
          <cell r="AK307" t="str">
            <v>FZ no SLR</v>
          </cell>
        </row>
        <row r="308">
          <cell r="Y308" t="str">
            <v>Single Family Detached</v>
          </cell>
          <cell r="AG308">
            <v>10</v>
          </cell>
          <cell r="AH308">
            <v>10</v>
          </cell>
          <cell r="AJ308">
            <v>3.368165265518825E-2</v>
          </cell>
          <cell r="AK308" t="str">
            <v>FZ no SLR</v>
          </cell>
        </row>
        <row r="309">
          <cell r="Y309" t="str">
            <v>Single Family Detached</v>
          </cell>
          <cell r="AG309">
            <v>10</v>
          </cell>
          <cell r="AH309">
            <v>10</v>
          </cell>
          <cell r="AJ309">
            <v>3.404950201951331E-2</v>
          </cell>
          <cell r="AK309" t="str">
            <v>FZ no SLR</v>
          </cell>
        </row>
        <row r="310">
          <cell r="Y310" t="str">
            <v>Single Family Detached</v>
          </cell>
          <cell r="AG310">
            <v>10</v>
          </cell>
          <cell r="AH310">
            <v>10</v>
          </cell>
          <cell r="AJ310">
            <v>3.2547234985766761E-2</v>
          </cell>
          <cell r="AK310" t="str">
            <v>FZ no SLR</v>
          </cell>
        </row>
        <row r="311">
          <cell r="Y311" t="str">
            <v>Single Family Detached</v>
          </cell>
          <cell r="AG311">
            <v>10</v>
          </cell>
          <cell r="AH311">
            <v>10</v>
          </cell>
          <cell r="AJ311">
            <v>3.1182976088842976E-2</v>
          </cell>
          <cell r="AK311" t="str">
            <v>FZ no SLR</v>
          </cell>
        </row>
        <row r="312">
          <cell r="Y312" t="str">
            <v>Single Family Detached</v>
          </cell>
          <cell r="AG312">
            <v>10</v>
          </cell>
          <cell r="AH312">
            <v>10</v>
          </cell>
          <cell r="AJ312">
            <v>3.2315464438246094E-2</v>
          </cell>
          <cell r="AK312" t="str">
            <v>FZ no SLR</v>
          </cell>
        </row>
        <row r="313">
          <cell r="Y313" t="str">
            <v>Single Family Detached</v>
          </cell>
          <cell r="AG313">
            <v>10</v>
          </cell>
          <cell r="AH313">
            <v>10</v>
          </cell>
          <cell r="AJ313">
            <v>3.455673207988981E-2</v>
          </cell>
          <cell r="AK313" t="str">
            <v>FZ no SLR</v>
          </cell>
        </row>
        <row r="314">
          <cell r="Y314" t="str">
            <v>Single Family Detached</v>
          </cell>
          <cell r="AG314">
            <v>10</v>
          </cell>
          <cell r="AH314">
            <v>10</v>
          </cell>
          <cell r="AJ314">
            <v>3.4160803966712582E-2</v>
          </cell>
          <cell r="AK314" t="str">
            <v>FZ no SLR</v>
          </cell>
        </row>
        <row r="315">
          <cell r="Y315" t="str">
            <v>Single Family Detached</v>
          </cell>
          <cell r="AG315">
            <v>10</v>
          </cell>
          <cell r="AH315">
            <v>10</v>
          </cell>
          <cell r="AJ315">
            <v>3.5194131082874197E-2</v>
          </cell>
          <cell r="AK315" t="str">
            <v>FZ no SLR</v>
          </cell>
        </row>
        <row r="316">
          <cell r="Y316" t="str">
            <v>Single Family Detached</v>
          </cell>
          <cell r="AG316">
            <v>10</v>
          </cell>
          <cell r="AH316">
            <v>10</v>
          </cell>
          <cell r="AJ316">
            <v>3.287037365748393E-2</v>
          </cell>
          <cell r="AK316" t="str">
            <v>FZ no SLR</v>
          </cell>
        </row>
        <row r="317">
          <cell r="Y317" t="str">
            <v>Single Family Detached</v>
          </cell>
          <cell r="AG317">
            <v>10</v>
          </cell>
          <cell r="AH317">
            <v>10</v>
          </cell>
          <cell r="AJ317">
            <v>3.53475771577135E-2</v>
          </cell>
          <cell r="AK317" t="str">
            <v>FZ no SLR</v>
          </cell>
        </row>
        <row r="318">
          <cell r="Y318" t="str">
            <v>Single Family Detached</v>
          </cell>
          <cell r="AG318">
            <v>10</v>
          </cell>
          <cell r="AH318">
            <v>10</v>
          </cell>
          <cell r="AJ318">
            <v>3.4480304573921025E-2</v>
          </cell>
          <cell r="AK318" t="str">
            <v>FZ no SLR</v>
          </cell>
        </row>
        <row r="319">
          <cell r="Y319" t="str">
            <v>Single Family Detached</v>
          </cell>
          <cell r="AG319">
            <v>10</v>
          </cell>
          <cell r="AH319">
            <v>10</v>
          </cell>
          <cell r="AJ319">
            <v>3.3059347902892562E-2</v>
          </cell>
          <cell r="AK319" t="str">
            <v>FZ no SLR</v>
          </cell>
        </row>
        <row r="320">
          <cell r="Y320" t="str">
            <v>Single Family Detached</v>
          </cell>
          <cell r="AG320">
            <v>10</v>
          </cell>
          <cell r="AH320">
            <v>10</v>
          </cell>
          <cell r="AJ320">
            <v>3.3666416289485766E-2</v>
          </cell>
          <cell r="AK320" t="str">
            <v>FZ no SLR</v>
          </cell>
        </row>
        <row r="321">
          <cell r="Y321" t="str">
            <v>Single Family Detached</v>
          </cell>
          <cell r="AG321">
            <v>10</v>
          </cell>
          <cell r="AH321">
            <v>10</v>
          </cell>
          <cell r="AJ321">
            <v>3.4907316965335167E-2</v>
          </cell>
          <cell r="AK321" t="str">
            <v>FZ no SLR</v>
          </cell>
        </row>
        <row r="322">
          <cell r="Y322" t="str">
            <v>Single Family Detached</v>
          </cell>
          <cell r="AG322">
            <v>10</v>
          </cell>
          <cell r="AH322">
            <v>10</v>
          </cell>
          <cell r="AJ322">
            <v>3.2247577192837468E-2</v>
          </cell>
          <cell r="AK322" t="str">
            <v>FZ no SLR</v>
          </cell>
        </row>
        <row r="323">
          <cell r="Y323" t="str">
            <v>Single Family Detached</v>
          </cell>
          <cell r="AG323">
            <v>10</v>
          </cell>
          <cell r="AH323">
            <v>10</v>
          </cell>
          <cell r="AJ323">
            <v>3.2666899168503211E-2</v>
          </cell>
          <cell r="AK323" t="str">
            <v>FZ no SLR</v>
          </cell>
        </row>
        <row r="324">
          <cell r="Y324" t="str">
            <v>Single Family Detached</v>
          </cell>
          <cell r="AG324">
            <v>10</v>
          </cell>
          <cell r="AH324">
            <v>10</v>
          </cell>
          <cell r="AJ324">
            <v>3.3632286617998164E-2</v>
          </cell>
          <cell r="AK324" t="str">
            <v>FZ no SLR</v>
          </cell>
        </row>
        <row r="325">
          <cell r="Y325" t="str">
            <v>Single Family Detached</v>
          </cell>
          <cell r="AG325">
            <v>10</v>
          </cell>
          <cell r="AH325">
            <v>10</v>
          </cell>
          <cell r="AJ325">
            <v>3.168514382828283E-2</v>
          </cell>
          <cell r="AK325" t="str">
            <v>FZ no SLR</v>
          </cell>
        </row>
        <row r="326">
          <cell r="Y326" t="str">
            <v>Single Family Detached</v>
          </cell>
          <cell r="AG326">
            <v>10</v>
          </cell>
          <cell r="AH326">
            <v>10</v>
          </cell>
          <cell r="AJ326">
            <v>3.2135673337235993E-2</v>
          </cell>
          <cell r="AK326" t="str">
            <v>FZ no SLR</v>
          </cell>
        </row>
        <row r="327">
          <cell r="Y327" t="str">
            <v>Single Family Detached</v>
          </cell>
          <cell r="AG327">
            <v>10</v>
          </cell>
          <cell r="AH327">
            <v>10</v>
          </cell>
          <cell r="AJ327">
            <v>3.4555946812672177E-2</v>
          </cell>
          <cell r="AK327" t="str">
            <v>FZ no SLR</v>
          </cell>
        </row>
        <row r="328">
          <cell r="Y328" t="str">
            <v>Single Family Detached</v>
          </cell>
          <cell r="AG328">
            <v>10</v>
          </cell>
          <cell r="AH328">
            <v>10</v>
          </cell>
          <cell r="AJ328">
            <v>4.2427859195592284E-2</v>
          </cell>
          <cell r="AK328" t="str">
            <v>FZ no SLR</v>
          </cell>
        </row>
        <row r="329">
          <cell r="Y329" t="str">
            <v>Single Family Detached</v>
          </cell>
          <cell r="AG329">
            <v>10</v>
          </cell>
          <cell r="AH329">
            <v>10</v>
          </cell>
          <cell r="AJ329">
            <v>3.334713376767677E-2</v>
          </cell>
          <cell r="AK329" t="str">
            <v>FZ no SLR</v>
          </cell>
        </row>
        <row r="330">
          <cell r="Y330" t="str">
            <v>Single Family Detached</v>
          </cell>
          <cell r="AG330">
            <v>10</v>
          </cell>
          <cell r="AH330">
            <v>10</v>
          </cell>
          <cell r="AJ330">
            <v>3.5203586722451788E-2</v>
          </cell>
          <cell r="AK330" t="str">
            <v>FZ no SLR</v>
          </cell>
        </row>
        <row r="331">
          <cell r="Y331" t="str">
            <v>Single Family Detached</v>
          </cell>
          <cell r="AG331">
            <v>10</v>
          </cell>
          <cell r="AH331">
            <v>10</v>
          </cell>
          <cell r="AJ331">
            <v>3.4563423218549133E-2</v>
          </cell>
          <cell r="AK331" t="str">
            <v>FZ no SLR</v>
          </cell>
        </row>
        <row r="332">
          <cell r="Y332" t="str">
            <v>Single Family Detached</v>
          </cell>
          <cell r="AG332">
            <v>10</v>
          </cell>
          <cell r="AH332">
            <v>10</v>
          </cell>
          <cell r="AJ332">
            <v>3.4312322665289254E-2</v>
          </cell>
          <cell r="AK332" t="str">
            <v>FZ no SLR</v>
          </cell>
        </row>
        <row r="333">
          <cell r="Y333" t="str">
            <v>Single Family Detached</v>
          </cell>
          <cell r="AG333">
            <v>10</v>
          </cell>
          <cell r="AH333">
            <v>10</v>
          </cell>
          <cell r="AJ333">
            <v>4.2512346992653813E-2</v>
          </cell>
          <cell r="AK333" t="str">
            <v>FZ no SLR</v>
          </cell>
        </row>
        <row r="334">
          <cell r="Y334" t="str">
            <v>Single Family Detached</v>
          </cell>
          <cell r="AG334">
            <v>10</v>
          </cell>
          <cell r="AH334">
            <v>10</v>
          </cell>
          <cell r="AJ334">
            <v>3.4856968322314053E-2</v>
          </cell>
          <cell r="AK334" t="str">
            <v>FZ no SLR</v>
          </cell>
        </row>
        <row r="335">
          <cell r="Y335" t="str">
            <v>Single Family Detached</v>
          </cell>
          <cell r="AG335">
            <v>10</v>
          </cell>
          <cell r="AH335">
            <v>10</v>
          </cell>
          <cell r="AJ335">
            <v>3.4786912293847568E-2</v>
          </cell>
          <cell r="AK335" t="str">
            <v>FZ no SLR</v>
          </cell>
        </row>
        <row r="336">
          <cell r="Y336" t="str">
            <v>Single Family Detached</v>
          </cell>
          <cell r="AG336">
            <v>10</v>
          </cell>
          <cell r="AH336">
            <v>10</v>
          </cell>
          <cell r="AJ336">
            <v>3.4495317388200185E-2</v>
          </cell>
          <cell r="AK336" t="str">
            <v>FZ no SLR</v>
          </cell>
        </row>
        <row r="337">
          <cell r="Y337" t="str">
            <v>Single Family Detached</v>
          </cell>
          <cell r="AG337">
            <v>10</v>
          </cell>
          <cell r="AH337">
            <v>10</v>
          </cell>
          <cell r="AJ337">
            <v>3.8549622784894398E-2</v>
          </cell>
          <cell r="AK337" t="str">
            <v>FZ no SLR</v>
          </cell>
        </row>
        <row r="338">
          <cell r="Y338" t="str">
            <v>Single Family Detached</v>
          </cell>
          <cell r="AG338">
            <v>10</v>
          </cell>
          <cell r="AH338">
            <v>10</v>
          </cell>
          <cell r="AJ338">
            <v>3.3285103095730025E-2</v>
          </cell>
          <cell r="AK338" t="str">
            <v>FZ no SLR</v>
          </cell>
        </row>
        <row r="339">
          <cell r="Y339" t="str">
            <v>Single Family Detached</v>
          </cell>
          <cell r="AG339">
            <v>10</v>
          </cell>
          <cell r="AH339">
            <v>10</v>
          </cell>
          <cell r="AJ339">
            <v>3.7105516149908174E-2</v>
          </cell>
          <cell r="AK339" t="str">
            <v>FZ no SLR</v>
          </cell>
        </row>
        <row r="340">
          <cell r="Y340" t="str">
            <v>Single Family Detached</v>
          </cell>
          <cell r="AG340">
            <v>10</v>
          </cell>
          <cell r="AH340">
            <v>10</v>
          </cell>
          <cell r="AJ340">
            <v>4.198817065059688E-2</v>
          </cell>
          <cell r="AK340" t="str">
            <v>FZ no SLR</v>
          </cell>
        </row>
        <row r="341">
          <cell r="Y341" t="str">
            <v>Single Family Detached</v>
          </cell>
          <cell r="AG341">
            <v>10</v>
          </cell>
          <cell r="AH341">
            <v>10</v>
          </cell>
          <cell r="AJ341">
            <v>3.3471989953397611E-2</v>
          </cell>
          <cell r="AK341" t="str">
            <v>FZ no SLR</v>
          </cell>
        </row>
        <row r="342">
          <cell r="Y342" t="str">
            <v>Single Family Detached</v>
          </cell>
          <cell r="AG342">
            <v>10</v>
          </cell>
          <cell r="AH342">
            <v>10</v>
          </cell>
          <cell r="AJ342">
            <v>3.2515908948576679E-2</v>
          </cell>
          <cell r="AK342" t="str">
            <v>FZ no SLR</v>
          </cell>
        </row>
        <row r="343">
          <cell r="Y343" t="str">
            <v>Single Family Detached</v>
          </cell>
          <cell r="AG343">
            <v>10</v>
          </cell>
          <cell r="AH343">
            <v>10</v>
          </cell>
          <cell r="AJ343">
            <v>3.522009128650138E-2</v>
          </cell>
          <cell r="AK343" t="str">
            <v>FZ no SLR</v>
          </cell>
        </row>
        <row r="344">
          <cell r="Y344" t="str">
            <v>Single Family Detached</v>
          </cell>
          <cell r="AG344">
            <v>10</v>
          </cell>
          <cell r="AH344">
            <v>10</v>
          </cell>
          <cell r="AJ344">
            <v>3.2948800286042246E-2</v>
          </cell>
          <cell r="AK344" t="str">
            <v>FZ no SLR</v>
          </cell>
        </row>
        <row r="345">
          <cell r="Y345" t="str">
            <v>Single Family Detached</v>
          </cell>
          <cell r="AG345">
            <v>10</v>
          </cell>
          <cell r="AH345">
            <v>10</v>
          </cell>
          <cell r="AJ345">
            <v>4.376263925252525E-2</v>
          </cell>
          <cell r="AK345" t="str">
            <v>FZ no SLR</v>
          </cell>
        </row>
        <row r="346">
          <cell r="Y346" t="str">
            <v>Single Family Detached</v>
          </cell>
          <cell r="AG346">
            <v>10</v>
          </cell>
          <cell r="AH346">
            <v>10</v>
          </cell>
          <cell r="AJ346">
            <v>4.3769337221763085E-2</v>
          </cell>
          <cell r="AK346" t="str">
            <v>FZ no SLR</v>
          </cell>
        </row>
        <row r="347">
          <cell r="Y347" t="str">
            <v>Single Family Detached</v>
          </cell>
          <cell r="AG347">
            <v>10</v>
          </cell>
          <cell r="AH347">
            <v>10</v>
          </cell>
          <cell r="AJ347">
            <v>3.9383586091597797E-2</v>
          </cell>
          <cell r="AK347" t="str">
            <v>FZ no SLR</v>
          </cell>
        </row>
        <row r="348">
          <cell r="Y348" t="str">
            <v>Single Family Detached</v>
          </cell>
          <cell r="AG348">
            <v>10</v>
          </cell>
          <cell r="AH348">
            <v>10</v>
          </cell>
          <cell r="AJ348">
            <v>3.5311245837465567E-2</v>
          </cell>
          <cell r="AK348" t="str">
            <v>FZ no SLR</v>
          </cell>
        </row>
        <row r="349">
          <cell r="Y349" t="str">
            <v>Single Family Detached</v>
          </cell>
          <cell r="AG349">
            <v>10</v>
          </cell>
          <cell r="AH349">
            <v>10</v>
          </cell>
          <cell r="AJ349">
            <v>3.4949924109963268E-2</v>
          </cell>
          <cell r="AK349" t="str">
            <v>FZ no SLR</v>
          </cell>
        </row>
        <row r="350">
          <cell r="Y350" t="str">
            <v>Single Family Detached</v>
          </cell>
          <cell r="AG350">
            <v>10</v>
          </cell>
          <cell r="AH350">
            <v>10</v>
          </cell>
          <cell r="AJ350">
            <v>4.06556467943067E-2</v>
          </cell>
          <cell r="AK350" t="str">
            <v>FZ no SLR</v>
          </cell>
        </row>
        <row r="351">
          <cell r="Y351" t="str">
            <v>Single Family Vacant</v>
          </cell>
          <cell r="AG351">
            <v>10</v>
          </cell>
          <cell r="AH351">
            <v>10</v>
          </cell>
          <cell r="AJ351">
            <v>3.6027720092056931E-2</v>
          </cell>
          <cell r="AK351" t="str">
            <v>FZ no SLR</v>
          </cell>
        </row>
        <row r="352">
          <cell r="Y352" t="str">
            <v>Single Family Detached</v>
          </cell>
          <cell r="AG352">
            <v>10</v>
          </cell>
          <cell r="AH352">
            <v>10</v>
          </cell>
          <cell r="AJ352">
            <v>3.3674324304637279E-2</v>
          </cell>
          <cell r="AK352" t="str">
            <v>FZ no SLR</v>
          </cell>
        </row>
        <row r="353">
          <cell r="Y353" t="str">
            <v>Single Family Detached</v>
          </cell>
          <cell r="AG353">
            <v>10</v>
          </cell>
          <cell r="AH353">
            <v>10</v>
          </cell>
          <cell r="AJ353">
            <v>3.4063064711662074E-2</v>
          </cell>
          <cell r="AK353" t="str">
            <v>FZ no SLR</v>
          </cell>
        </row>
        <row r="354">
          <cell r="Y354" t="str">
            <v>Single Family Detached</v>
          </cell>
          <cell r="AG354">
            <v>10</v>
          </cell>
          <cell r="AH354">
            <v>10</v>
          </cell>
          <cell r="AJ354">
            <v>4.244816383379247E-2</v>
          </cell>
          <cell r="AK354" t="str">
            <v>FZ no SLR</v>
          </cell>
        </row>
        <row r="355">
          <cell r="Y355" t="str">
            <v>Single Family Detached</v>
          </cell>
          <cell r="AG355">
            <v>10</v>
          </cell>
          <cell r="AH355">
            <v>10</v>
          </cell>
          <cell r="AJ355">
            <v>3.4959325623737374E-2</v>
          </cell>
          <cell r="AK355" t="str">
            <v>FZ no SLR</v>
          </cell>
        </row>
        <row r="356">
          <cell r="Y356" t="str">
            <v>Single Family Detached</v>
          </cell>
          <cell r="AG356">
            <v>10</v>
          </cell>
          <cell r="AH356">
            <v>6</v>
          </cell>
          <cell r="AJ356">
            <v>5.9865834002295684E-2</v>
          </cell>
          <cell r="AK356" t="str">
            <v>FZ no SLR</v>
          </cell>
        </row>
        <row r="357">
          <cell r="Y357" t="str">
            <v>Single Family Detached</v>
          </cell>
          <cell r="AG357">
            <v>10</v>
          </cell>
          <cell r="AH357">
            <v>6</v>
          </cell>
          <cell r="AJ357">
            <v>0.12166211505211202</v>
          </cell>
          <cell r="AK357" t="str">
            <v>FZ no SLR</v>
          </cell>
        </row>
        <row r="358">
          <cell r="Y358" t="str">
            <v>Single Family Detached</v>
          </cell>
          <cell r="AG358">
            <v>10</v>
          </cell>
          <cell r="AH358">
            <v>6</v>
          </cell>
          <cell r="AJ358">
            <v>0.15936735667860422</v>
          </cell>
          <cell r="AK358" t="str">
            <v>FZ no SLR</v>
          </cell>
        </row>
        <row r="359">
          <cell r="Y359" t="str">
            <v>Single Family Detached</v>
          </cell>
          <cell r="AG359">
            <v>10</v>
          </cell>
          <cell r="AH359">
            <v>6</v>
          </cell>
          <cell r="AJ359">
            <v>0.13195886629247014</v>
          </cell>
          <cell r="AK359" t="str">
            <v>FZ no SLR</v>
          </cell>
        </row>
        <row r="360">
          <cell r="Y360" t="str">
            <v>Single Family Attached</v>
          </cell>
          <cell r="AG360">
            <v>10</v>
          </cell>
          <cell r="AH360">
            <v>6</v>
          </cell>
          <cell r="AJ360">
            <v>0.13798444159090908</v>
          </cell>
          <cell r="AK360" t="str">
            <v>FZ no SLR</v>
          </cell>
        </row>
        <row r="361">
          <cell r="Y361" t="str">
            <v>Single Family Attached</v>
          </cell>
          <cell r="AG361">
            <v>10</v>
          </cell>
          <cell r="AH361">
            <v>6</v>
          </cell>
          <cell r="AJ361">
            <v>0.13565849148622589</v>
          </cell>
          <cell r="AK361" t="str">
            <v>FZ no SLR</v>
          </cell>
        </row>
        <row r="362">
          <cell r="Y362" t="str">
            <v>Single Family Attached</v>
          </cell>
          <cell r="AG362">
            <v>10</v>
          </cell>
          <cell r="AH362">
            <v>6</v>
          </cell>
          <cell r="AJ362">
            <v>0.14582428004224057</v>
          </cell>
          <cell r="AK362" t="str">
            <v>FZ no SLR</v>
          </cell>
        </row>
        <row r="363">
          <cell r="Y363" t="str">
            <v>Single Family Attached</v>
          </cell>
          <cell r="AG363">
            <v>10</v>
          </cell>
          <cell r="AH363">
            <v>6</v>
          </cell>
          <cell r="AJ363">
            <v>0.15640319307759412</v>
          </cell>
          <cell r="AK363" t="str">
            <v>FZ no SLR</v>
          </cell>
        </row>
        <row r="364">
          <cell r="Y364" t="str">
            <v>Single Family Detached</v>
          </cell>
          <cell r="AG364">
            <v>6</v>
          </cell>
          <cell r="AH364">
            <v>10</v>
          </cell>
          <cell r="AJ364">
            <v>6.1304988567033973E-2</v>
          </cell>
          <cell r="AK364" t="str">
            <v>FZ with SLR</v>
          </cell>
        </row>
        <row r="365">
          <cell r="Y365" t="str">
            <v>Single Family Detached</v>
          </cell>
          <cell r="AG365">
            <v>6</v>
          </cell>
          <cell r="AH365">
            <v>10</v>
          </cell>
          <cell r="AJ365">
            <v>8.8462584350091827E-2</v>
          </cell>
          <cell r="AK365" t="str">
            <v>FZ with SLR</v>
          </cell>
        </row>
        <row r="366">
          <cell r="Y366" t="str">
            <v>Single Family Attached</v>
          </cell>
          <cell r="AG366">
            <v>6</v>
          </cell>
          <cell r="AH366">
            <v>10</v>
          </cell>
          <cell r="AJ366">
            <v>9.1997707017676775E-2</v>
          </cell>
          <cell r="AK366" t="str">
            <v>FZ with SLR</v>
          </cell>
        </row>
        <row r="367">
          <cell r="Y367" t="str">
            <v>Single Family Attached</v>
          </cell>
          <cell r="AG367">
            <v>6</v>
          </cell>
          <cell r="AH367">
            <v>5</v>
          </cell>
          <cell r="AJ367">
            <v>0.1152201883292011</v>
          </cell>
          <cell r="AK367" t="str">
            <v>FZ with SLR</v>
          </cell>
        </row>
        <row r="368">
          <cell r="Y368" t="str">
            <v>Single Family Attached</v>
          </cell>
          <cell r="AG368">
            <v>6</v>
          </cell>
          <cell r="AH368">
            <v>5</v>
          </cell>
          <cell r="AJ368">
            <v>0.13366380651010101</v>
          </cell>
          <cell r="AK368" t="str">
            <v>FZ with SLR</v>
          </cell>
        </row>
        <row r="369">
          <cell r="Y369" t="str">
            <v>Single Family Attached</v>
          </cell>
          <cell r="AG369">
            <v>6</v>
          </cell>
          <cell r="AH369">
            <v>5</v>
          </cell>
          <cell r="AJ369">
            <v>0.11531570132162536</v>
          </cell>
          <cell r="AK369" t="str">
            <v>FZ with SLR</v>
          </cell>
        </row>
        <row r="370">
          <cell r="Y370" t="str">
            <v>Single Family Detached</v>
          </cell>
          <cell r="AG370">
            <v>6</v>
          </cell>
          <cell r="AH370">
            <v>5</v>
          </cell>
          <cell r="AJ370">
            <v>0.11434424622681361</v>
          </cell>
          <cell r="AK370" t="str">
            <v>FZ with SLR</v>
          </cell>
        </row>
        <row r="371">
          <cell r="Y371" t="str">
            <v>Single Family Attached</v>
          </cell>
          <cell r="AG371">
            <v>6</v>
          </cell>
          <cell r="AH371">
            <v>5</v>
          </cell>
          <cell r="AJ371">
            <v>0.11063386500596878</v>
          </cell>
          <cell r="AK371" t="str">
            <v>FZ with SLR</v>
          </cell>
        </row>
        <row r="372">
          <cell r="Y372" t="str">
            <v>Single Family Attached</v>
          </cell>
          <cell r="AG372">
            <v>6</v>
          </cell>
          <cell r="AH372">
            <v>5</v>
          </cell>
          <cell r="AJ372">
            <v>0.11034933190426997</v>
          </cell>
          <cell r="AK372" t="str">
            <v>FZ with SLR</v>
          </cell>
        </row>
        <row r="373">
          <cell r="Y373" t="str">
            <v>Single Family Attached</v>
          </cell>
          <cell r="AG373">
            <v>6</v>
          </cell>
          <cell r="AH373">
            <v>5</v>
          </cell>
          <cell r="AJ373">
            <v>0.11340888657897152</v>
          </cell>
          <cell r="AK373" t="str">
            <v>FZ with SLR</v>
          </cell>
        </row>
        <row r="374">
          <cell r="Y374" t="str">
            <v>Single Family Attached</v>
          </cell>
          <cell r="AG374">
            <v>6</v>
          </cell>
          <cell r="AH374">
            <v>5</v>
          </cell>
          <cell r="AJ374">
            <v>0.11357891569077135</v>
          </cell>
          <cell r="AK374" t="str">
            <v>FZ with SLR</v>
          </cell>
        </row>
        <row r="375">
          <cell r="Y375" t="str">
            <v>Single Family Attached</v>
          </cell>
          <cell r="AG375">
            <v>6</v>
          </cell>
          <cell r="AH375">
            <v>5</v>
          </cell>
          <cell r="AJ375">
            <v>0.10888840531129476</v>
          </cell>
          <cell r="AK375" t="str">
            <v>FZ with SLR</v>
          </cell>
        </row>
        <row r="376">
          <cell r="Y376" t="str">
            <v>Single Family Attached</v>
          </cell>
          <cell r="AG376">
            <v>6</v>
          </cell>
          <cell r="AH376">
            <v>5</v>
          </cell>
          <cell r="AJ376">
            <v>0.11433035476767676</v>
          </cell>
          <cell r="AK376" t="str">
            <v>FZ with SLR</v>
          </cell>
        </row>
        <row r="377">
          <cell r="Y377" t="str">
            <v>Single Family Attached</v>
          </cell>
          <cell r="AG377">
            <v>6</v>
          </cell>
          <cell r="AH377">
            <v>5</v>
          </cell>
          <cell r="AJ377">
            <v>8.0643840827823693E-2</v>
          </cell>
          <cell r="AK377" t="str">
            <v>FZ with SLR</v>
          </cell>
        </row>
        <row r="378">
          <cell r="Y378" t="str">
            <v>Single Family Attached</v>
          </cell>
          <cell r="AG378">
            <v>6</v>
          </cell>
          <cell r="AH378">
            <v>5</v>
          </cell>
          <cell r="AJ378">
            <v>8.7973825090909091E-2</v>
          </cell>
          <cell r="AK378" t="str">
            <v>FZ with SLR</v>
          </cell>
        </row>
        <row r="379">
          <cell r="Y379" t="str">
            <v>Single Family Attached</v>
          </cell>
          <cell r="AG379">
            <v>6</v>
          </cell>
          <cell r="AH379">
            <v>5</v>
          </cell>
          <cell r="AJ379">
            <v>5.9235169407254359E-2</v>
          </cell>
          <cell r="AK379" t="str">
            <v>FZ with SLR</v>
          </cell>
        </row>
        <row r="380">
          <cell r="Y380" t="str">
            <v>Single Family Attached</v>
          </cell>
          <cell r="AG380">
            <v>6</v>
          </cell>
          <cell r="AH380">
            <v>5</v>
          </cell>
          <cell r="AJ380">
            <v>6.1333798385674931E-2</v>
          </cell>
          <cell r="AK380" t="str">
            <v>FZ with SLR</v>
          </cell>
        </row>
        <row r="381">
          <cell r="Y381" t="str">
            <v>Single Family Attached</v>
          </cell>
          <cell r="AG381">
            <v>6</v>
          </cell>
          <cell r="AH381">
            <v>5</v>
          </cell>
          <cell r="AJ381">
            <v>8.5218165912534435E-2</v>
          </cell>
          <cell r="AK381" t="str">
            <v>FZ with SLR</v>
          </cell>
        </row>
        <row r="382">
          <cell r="Y382" t="str">
            <v>Single Family Attached</v>
          </cell>
          <cell r="AG382">
            <v>6</v>
          </cell>
          <cell r="AH382">
            <v>5</v>
          </cell>
          <cell r="AJ382">
            <v>0.1410214170778237</v>
          </cell>
          <cell r="AK382" t="str">
            <v>FZ with SLR</v>
          </cell>
        </row>
        <row r="383">
          <cell r="Y383" t="str">
            <v>Single Family Attached</v>
          </cell>
          <cell r="AG383">
            <v>6</v>
          </cell>
          <cell r="AH383">
            <v>5</v>
          </cell>
          <cell r="AJ383">
            <v>0.15859451511822772</v>
          </cell>
          <cell r="AK383" t="str">
            <v>FZ with SLR</v>
          </cell>
        </row>
        <row r="384">
          <cell r="Y384" t="str">
            <v>Single Family Attached</v>
          </cell>
          <cell r="AG384">
            <v>6</v>
          </cell>
          <cell r="AH384">
            <v>5</v>
          </cell>
          <cell r="AJ384">
            <v>0.14300459172268137</v>
          </cell>
          <cell r="AK384" t="str">
            <v>FZ with SLR</v>
          </cell>
        </row>
        <row r="385">
          <cell r="Y385" t="str">
            <v>Single Family Attached</v>
          </cell>
          <cell r="AG385">
            <v>6</v>
          </cell>
          <cell r="AH385">
            <v>5</v>
          </cell>
          <cell r="AJ385">
            <v>9.286851869467401E-2</v>
          </cell>
          <cell r="AK385" t="str">
            <v>FZ with SLR</v>
          </cell>
        </row>
        <row r="386">
          <cell r="Y386" t="str">
            <v>Single Family Attached</v>
          </cell>
          <cell r="AG386">
            <v>6</v>
          </cell>
          <cell r="AH386">
            <v>10</v>
          </cell>
          <cell r="AJ386">
            <v>6.5029771316804402E-2</v>
          </cell>
          <cell r="AK386" t="str">
            <v>FZ with SLR</v>
          </cell>
        </row>
        <row r="387">
          <cell r="Y387" t="str">
            <v>Single Family Attached</v>
          </cell>
          <cell r="AG387">
            <v>6</v>
          </cell>
          <cell r="AH387">
            <v>10</v>
          </cell>
          <cell r="AJ387">
            <v>6.580139296854913E-2</v>
          </cell>
          <cell r="AK387" t="str">
            <v>FZ with SLR</v>
          </cell>
        </row>
        <row r="388">
          <cell r="Y388" t="str">
            <v>Single Family Attached</v>
          </cell>
          <cell r="AG388">
            <v>6</v>
          </cell>
          <cell r="AH388">
            <v>5</v>
          </cell>
          <cell r="AJ388">
            <v>0.27574800676767675</v>
          </cell>
          <cell r="AK388" t="str">
            <v>FZ with SLR</v>
          </cell>
        </row>
        <row r="389">
          <cell r="Y389" t="str">
            <v>Single Family Attached</v>
          </cell>
          <cell r="AG389">
            <v>6</v>
          </cell>
          <cell r="AH389">
            <v>10</v>
          </cell>
          <cell r="AJ389">
            <v>9.3648676707529854E-2</v>
          </cell>
          <cell r="AK389" t="str">
            <v>FZ with SLR</v>
          </cell>
        </row>
        <row r="390">
          <cell r="Y390" t="str">
            <v>Single Family Attached</v>
          </cell>
          <cell r="AG390">
            <v>6</v>
          </cell>
          <cell r="AH390">
            <v>5</v>
          </cell>
          <cell r="AJ390">
            <v>9.2494359538108362E-2</v>
          </cell>
          <cell r="AK390" t="str">
            <v>FZ with SLR</v>
          </cell>
        </row>
        <row r="391">
          <cell r="Y391" t="str">
            <v>Single Family Attached</v>
          </cell>
          <cell r="AG391">
            <v>6</v>
          </cell>
          <cell r="AH391">
            <v>5</v>
          </cell>
          <cell r="AJ391">
            <v>9.3021681613406793E-2</v>
          </cell>
          <cell r="AK391" t="str">
            <v>FZ with SLR</v>
          </cell>
        </row>
        <row r="392">
          <cell r="Y392" t="str">
            <v>Single Family Attached</v>
          </cell>
          <cell r="AG392">
            <v>6</v>
          </cell>
          <cell r="AH392">
            <v>5</v>
          </cell>
          <cell r="AJ392">
            <v>9.6177252094352614E-2</v>
          </cell>
          <cell r="AK392" t="str">
            <v>FZ with SLR</v>
          </cell>
        </row>
        <row r="393">
          <cell r="Y393" t="str">
            <v>Single Family Attached</v>
          </cell>
          <cell r="AG393">
            <v>6</v>
          </cell>
          <cell r="AH393">
            <v>10</v>
          </cell>
          <cell r="AJ393">
            <v>5.9154340628787876E-2</v>
          </cell>
          <cell r="AK393" t="str">
            <v>FZ with SLR</v>
          </cell>
        </row>
        <row r="394">
          <cell r="Y394" t="str">
            <v>Single Family Attached</v>
          </cell>
          <cell r="AG394">
            <v>6</v>
          </cell>
          <cell r="AH394">
            <v>5</v>
          </cell>
          <cell r="AJ394">
            <v>5.5744067401974282E-2</v>
          </cell>
          <cell r="AK394" t="str">
            <v>FZ with SLR</v>
          </cell>
        </row>
        <row r="395">
          <cell r="Y395" t="str">
            <v>Single Family Attached</v>
          </cell>
          <cell r="AG395">
            <v>6</v>
          </cell>
          <cell r="AH395">
            <v>5</v>
          </cell>
          <cell r="AJ395">
            <v>5.777470521464647E-2</v>
          </cell>
          <cell r="AK395" t="str">
            <v>FZ with SLR</v>
          </cell>
        </row>
        <row r="396">
          <cell r="Y396" t="str">
            <v>Single Family Attached</v>
          </cell>
          <cell r="AG396">
            <v>6</v>
          </cell>
          <cell r="AH396">
            <v>10</v>
          </cell>
          <cell r="AJ396">
            <v>7.3793910458218551E-2</v>
          </cell>
          <cell r="AK396" t="str">
            <v>FZ with SLR</v>
          </cell>
        </row>
        <row r="397">
          <cell r="Y397" t="str">
            <v>Single Family Detached</v>
          </cell>
          <cell r="AG397">
            <v>6</v>
          </cell>
          <cell r="AH397">
            <v>10</v>
          </cell>
          <cell r="AJ397">
            <v>0.11689652227685951</v>
          </cell>
          <cell r="AK397" t="str">
            <v>FZ with SLR</v>
          </cell>
        </row>
        <row r="398">
          <cell r="Y398" t="str">
            <v>Single Family Detached</v>
          </cell>
          <cell r="AG398">
            <v>6</v>
          </cell>
          <cell r="AH398">
            <v>5</v>
          </cell>
          <cell r="AJ398">
            <v>0.16328290010445362</v>
          </cell>
          <cell r="AK398" t="str">
            <v>FZ with SLR</v>
          </cell>
        </row>
        <row r="399">
          <cell r="Y399" t="str">
            <v>Single Family Attached</v>
          </cell>
          <cell r="AG399">
            <v>6</v>
          </cell>
          <cell r="AH399">
            <v>5</v>
          </cell>
          <cell r="AJ399">
            <v>9.2558821319559226E-2</v>
          </cell>
          <cell r="AK399" t="str">
            <v>FZ with SLR</v>
          </cell>
        </row>
        <row r="400">
          <cell r="Y400" t="str">
            <v>Single Family Detached</v>
          </cell>
          <cell r="AG400">
            <v>6</v>
          </cell>
          <cell r="AH400">
            <v>5</v>
          </cell>
          <cell r="AJ400">
            <v>0.10206173176239669</v>
          </cell>
          <cell r="AK400" t="str">
            <v>FZ with SLR</v>
          </cell>
        </row>
        <row r="401">
          <cell r="Y401" t="str">
            <v>Single Family Detached</v>
          </cell>
          <cell r="AG401">
            <v>6</v>
          </cell>
          <cell r="AH401">
            <v>10</v>
          </cell>
          <cell r="AJ401">
            <v>5.4766989486225895E-2</v>
          </cell>
          <cell r="AK401" t="str">
            <v>FZ with SLR</v>
          </cell>
        </row>
        <row r="402">
          <cell r="Y402" t="str">
            <v>Single Family Detached</v>
          </cell>
          <cell r="AG402">
            <v>6</v>
          </cell>
          <cell r="AH402">
            <v>5</v>
          </cell>
          <cell r="AJ402">
            <v>0.13914243892516071</v>
          </cell>
          <cell r="AK402" t="str">
            <v>FZ with SLR</v>
          </cell>
        </row>
        <row r="403">
          <cell r="Y403" t="str">
            <v>Single Family Detached</v>
          </cell>
          <cell r="AG403">
            <v>6</v>
          </cell>
          <cell r="AH403">
            <v>5</v>
          </cell>
          <cell r="AJ403">
            <v>0.13847465046763086</v>
          </cell>
          <cell r="AK403" t="str">
            <v>FZ with SLR</v>
          </cell>
        </row>
        <row r="404">
          <cell r="Y404" t="str">
            <v>Single Family Detached</v>
          </cell>
          <cell r="AG404">
            <v>6</v>
          </cell>
          <cell r="AH404">
            <v>5</v>
          </cell>
          <cell r="AJ404">
            <v>9.434006339348025E-2</v>
          </cell>
          <cell r="AK404" t="str">
            <v>FZ with SLR</v>
          </cell>
        </row>
        <row r="405">
          <cell r="Y405" t="str">
            <v>Single Family Detached</v>
          </cell>
          <cell r="AG405">
            <v>6</v>
          </cell>
          <cell r="AH405">
            <v>5</v>
          </cell>
          <cell r="AJ405">
            <v>9.0322035777777782E-2</v>
          </cell>
          <cell r="AK405" t="str">
            <v>FZ with SLR</v>
          </cell>
        </row>
        <row r="406">
          <cell r="Y406" t="str">
            <v>Single Family Detached</v>
          </cell>
          <cell r="AG406">
            <v>6</v>
          </cell>
          <cell r="AH406">
            <v>5</v>
          </cell>
          <cell r="AJ406">
            <v>0.14446989882851238</v>
          </cell>
          <cell r="AK406" t="str">
            <v>FZ with SLR</v>
          </cell>
        </row>
        <row r="407">
          <cell r="Y407" t="str">
            <v>Single Family Detached</v>
          </cell>
          <cell r="AG407">
            <v>6</v>
          </cell>
          <cell r="AH407">
            <v>5</v>
          </cell>
          <cell r="AJ407">
            <v>5.4112690823461887E-2</v>
          </cell>
          <cell r="AK407" t="str">
            <v>FZ with SLR</v>
          </cell>
        </row>
        <row r="408">
          <cell r="Y408" t="str">
            <v>Single Family Detached</v>
          </cell>
          <cell r="AG408">
            <v>6</v>
          </cell>
          <cell r="AH408">
            <v>5</v>
          </cell>
          <cell r="AJ408">
            <v>8.9060677599403129E-2</v>
          </cell>
          <cell r="AK408" t="str">
            <v>FZ with SLR</v>
          </cell>
        </row>
        <row r="409">
          <cell r="Y409" t="str">
            <v>Single Family Detached</v>
          </cell>
          <cell r="AG409">
            <v>6</v>
          </cell>
          <cell r="AH409">
            <v>5</v>
          </cell>
          <cell r="AJ409">
            <v>9.2405913495638203E-2</v>
          </cell>
          <cell r="AK409" t="str">
            <v>FZ with SLR</v>
          </cell>
        </row>
        <row r="410">
          <cell r="Y410" t="str">
            <v>Single Family Detached</v>
          </cell>
          <cell r="AG410">
            <v>6</v>
          </cell>
          <cell r="AH410">
            <v>5</v>
          </cell>
          <cell r="AJ410">
            <v>9.1146305729797983E-2</v>
          </cell>
          <cell r="AK410" t="str">
            <v>FZ with SLR</v>
          </cell>
        </row>
        <row r="411">
          <cell r="Y411" t="str">
            <v>Single Family Vacant</v>
          </cell>
          <cell r="AG411">
            <v>6</v>
          </cell>
          <cell r="AH411">
            <v>5</v>
          </cell>
          <cell r="AJ411">
            <v>9.1784492882001842E-2</v>
          </cell>
          <cell r="AK411" t="str">
            <v>FZ with SLR</v>
          </cell>
        </row>
        <row r="412">
          <cell r="Y412" t="str">
            <v>Single Family Detached</v>
          </cell>
          <cell r="AG412">
            <v>6</v>
          </cell>
          <cell r="AH412">
            <v>5</v>
          </cell>
          <cell r="AJ412">
            <v>9.2518322935261701E-2</v>
          </cell>
          <cell r="AK412" t="str">
            <v>FZ with SLR</v>
          </cell>
        </row>
        <row r="413">
          <cell r="Y413" t="str">
            <v>Single Family Detached</v>
          </cell>
          <cell r="AG413">
            <v>6</v>
          </cell>
          <cell r="AH413">
            <v>5</v>
          </cell>
          <cell r="AJ413">
            <v>8.8188974059917352E-2</v>
          </cell>
          <cell r="AK413" t="str">
            <v>FZ with SLR</v>
          </cell>
        </row>
        <row r="414">
          <cell r="Y414" t="str">
            <v>Single Family Detached</v>
          </cell>
          <cell r="AG414">
            <v>6</v>
          </cell>
          <cell r="AH414">
            <v>5</v>
          </cell>
          <cell r="AJ414">
            <v>9.1487747739439851E-2</v>
          </cell>
          <cell r="AK414" t="str">
            <v>FZ with SLR</v>
          </cell>
        </row>
        <row r="415">
          <cell r="Y415" t="str">
            <v>Single Family Detached</v>
          </cell>
          <cell r="AG415">
            <v>6</v>
          </cell>
          <cell r="AH415">
            <v>5</v>
          </cell>
          <cell r="AJ415">
            <v>9.7173685204086327E-2</v>
          </cell>
          <cell r="AK415" t="str">
            <v>FZ with SLR</v>
          </cell>
        </row>
        <row r="416">
          <cell r="Y416" t="str">
            <v>Single Family Detached</v>
          </cell>
          <cell r="AG416">
            <v>6</v>
          </cell>
          <cell r="AH416">
            <v>5</v>
          </cell>
          <cell r="AJ416">
            <v>7.8509789777777783E-2</v>
          </cell>
          <cell r="AK416" t="str">
            <v>FZ with SLR</v>
          </cell>
        </row>
        <row r="417">
          <cell r="Y417" t="str">
            <v>Single Family Detached</v>
          </cell>
          <cell r="AG417">
            <v>6</v>
          </cell>
          <cell r="AH417">
            <v>5</v>
          </cell>
          <cell r="AJ417">
            <v>0.1129444600617539</v>
          </cell>
          <cell r="AK417" t="str">
            <v>FZ with SLR</v>
          </cell>
        </row>
        <row r="418">
          <cell r="Y418" t="str">
            <v>Single Family Detached</v>
          </cell>
          <cell r="AG418">
            <v>6</v>
          </cell>
          <cell r="AH418">
            <v>5</v>
          </cell>
          <cell r="AJ418">
            <v>0.10785283895615243</v>
          </cell>
          <cell r="AK418" t="str">
            <v>FZ with SLR</v>
          </cell>
        </row>
        <row r="419">
          <cell r="Y419" t="str">
            <v>Single Family Detached</v>
          </cell>
          <cell r="AG419">
            <v>6</v>
          </cell>
          <cell r="AH419">
            <v>5</v>
          </cell>
          <cell r="AJ419">
            <v>0.11687312935697887</v>
          </cell>
          <cell r="AK419" t="str">
            <v>FZ with SLR</v>
          </cell>
        </row>
        <row r="420">
          <cell r="Y420" t="str">
            <v>Single Family Detached</v>
          </cell>
          <cell r="AG420">
            <v>6</v>
          </cell>
          <cell r="AH420">
            <v>5</v>
          </cell>
          <cell r="AJ420">
            <v>0.13982872699862259</v>
          </cell>
          <cell r="AK420" t="str">
            <v>FZ with SLR</v>
          </cell>
        </row>
        <row r="421">
          <cell r="Y421" t="str">
            <v>Single Family Detached</v>
          </cell>
          <cell r="AG421">
            <v>6</v>
          </cell>
          <cell r="AH421">
            <v>5</v>
          </cell>
          <cell r="AJ421">
            <v>0.1109325605748393</v>
          </cell>
          <cell r="AK421" t="str">
            <v>FZ with SLR</v>
          </cell>
        </row>
        <row r="422">
          <cell r="Y422" t="str">
            <v>Single Family Detached</v>
          </cell>
          <cell r="AG422">
            <v>6</v>
          </cell>
          <cell r="AH422">
            <v>5</v>
          </cell>
          <cell r="AJ422">
            <v>0.10900452264577594</v>
          </cell>
          <cell r="AK422" t="str">
            <v>FZ with SLR</v>
          </cell>
        </row>
        <row r="423">
          <cell r="Y423" t="str">
            <v>Single Family Detached</v>
          </cell>
          <cell r="AG423">
            <v>6</v>
          </cell>
          <cell r="AH423">
            <v>5</v>
          </cell>
          <cell r="AJ423">
            <v>0.10842029317033976</v>
          </cell>
          <cell r="AK423" t="str">
            <v>FZ with SLR</v>
          </cell>
        </row>
        <row r="424">
          <cell r="Y424" t="str">
            <v>Single Family Detached</v>
          </cell>
          <cell r="AG424">
            <v>6</v>
          </cell>
          <cell r="AH424">
            <v>5</v>
          </cell>
          <cell r="AJ424">
            <v>0.12901806084527087</v>
          </cell>
          <cell r="AK424" t="str">
            <v>FZ with SLR</v>
          </cell>
        </row>
        <row r="425">
          <cell r="Y425" t="str">
            <v>Single Family Detached</v>
          </cell>
          <cell r="AG425">
            <v>6</v>
          </cell>
          <cell r="AH425">
            <v>5</v>
          </cell>
          <cell r="AJ425">
            <v>9.5331766076675845E-2</v>
          </cell>
          <cell r="AK425" t="str">
            <v>FZ with SLR</v>
          </cell>
        </row>
        <row r="426">
          <cell r="Y426" t="str">
            <v>Single Family Detached</v>
          </cell>
          <cell r="AG426">
            <v>6</v>
          </cell>
          <cell r="AH426">
            <v>5</v>
          </cell>
          <cell r="AJ426">
            <v>0.1901706499359504</v>
          </cell>
          <cell r="AK426" t="str">
            <v>FZ with SLR</v>
          </cell>
        </row>
        <row r="427">
          <cell r="Y427" t="str">
            <v>Single Family Detached</v>
          </cell>
          <cell r="AG427">
            <v>6</v>
          </cell>
          <cell r="AH427">
            <v>5</v>
          </cell>
          <cell r="AJ427">
            <v>9.0661969687327829E-2</v>
          </cell>
          <cell r="AK427" t="str">
            <v>FZ with SLR</v>
          </cell>
        </row>
        <row r="428">
          <cell r="Y428" t="str">
            <v>Single Family Detached</v>
          </cell>
          <cell r="AG428">
            <v>6</v>
          </cell>
          <cell r="AH428">
            <v>5</v>
          </cell>
          <cell r="AJ428">
            <v>7.7288122748622581E-2</v>
          </cell>
          <cell r="AK428" t="str">
            <v>FZ with SLR</v>
          </cell>
        </row>
        <row r="429">
          <cell r="Y429" t="str">
            <v>Single Family Detached</v>
          </cell>
          <cell r="AG429">
            <v>6</v>
          </cell>
          <cell r="AH429">
            <v>5</v>
          </cell>
          <cell r="AJ429">
            <v>8.5004542551423326E-2</v>
          </cell>
          <cell r="AK429" t="str">
            <v>FZ with SLR</v>
          </cell>
        </row>
        <row r="430">
          <cell r="Y430" t="str">
            <v>Single Family Detached</v>
          </cell>
          <cell r="AG430">
            <v>6</v>
          </cell>
          <cell r="AH430">
            <v>5</v>
          </cell>
          <cell r="AJ430">
            <v>8.7691205881083562E-2</v>
          </cell>
          <cell r="AK430" t="str">
            <v>FZ with SLR</v>
          </cell>
        </row>
        <row r="431">
          <cell r="Y431" t="str">
            <v>Single Family Detached</v>
          </cell>
          <cell r="AG431">
            <v>6</v>
          </cell>
          <cell r="AH431">
            <v>5</v>
          </cell>
          <cell r="AJ431">
            <v>0.11564489776515152</v>
          </cell>
          <cell r="AK431" t="str">
            <v>FZ with SLR</v>
          </cell>
        </row>
        <row r="432">
          <cell r="Y432" t="str">
            <v>Single Family Detached</v>
          </cell>
          <cell r="AG432">
            <v>6</v>
          </cell>
          <cell r="AH432">
            <v>5</v>
          </cell>
          <cell r="AJ432">
            <v>9.2971351633838378E-2</v>
          </cell>
          <cell r="AK432" t="str">
            <v>FZ with SLR</v>
          </cell>
        </row>
        <row r="433">
          <cell r="Y433" t="str">
            <v>Single Family Detached</v>
          </cell>
          <cell r="AG433">
            <v>6</v>
          </cell>
          <cell r="AH433">
            <v>5</v>
          </cell>
          <cell r="AJ433">
            <v>9.3904639331037654E-2</v>
          </cell>
          <cell r="AK433" t="str">
            <v>FZ with SLR</v>
          </cell>
        </row>
        <row r="434">
          <cell r="Y434" t="str">
            <v>Single Family Detached</v>
          </cell>
          <cell r="AG434">
            <v>6</v>
          </cell>
          <cell r="AH434">
            <v>5</v>
          </cell>
          <cell r="AJ434">
            <v>9.3516614548209365E-2</v>
          </cell>
          <cell r="AK434" t="str">
            <v>FZ with SLR</v>
          </cell>
        </row>
        <row r="435">
          <cell r="Y435" t="str">
            <v>Single Family Detached</v>
          </cell>
          <cell r="AG435">
            <v>6</v>
          </cell>
          <cell r="AH435">
            <v>5</v>
          </cell>
          <cell r="AJ435">
            <v>0.14160508973507804</v>
          </cell>
          <cell r="AK435" t="str">
            <v>FZ with SLR</v>
          </cell>
        </row>
        <row r="436">
          <cell r="Y436" t="str">
            <v>Single Family Detached</v>
          </cell>
          <cell r="AG436">
            <v>6</v>
          </cell>
          <cell r="AH436">
            <v>5</v>
          </cell>
          <cell r="AJ436">
            <v>0.20731355226331499</v>
          </cell>
          <cell r="AK436" t="str">
            <v>FZ with SLR</v>
          </cell>
        </row>
        <row r="437">
          <cell r="Y437" t="str">
            <v>Single Family Detached</v>
          </cell>
          <cell r="AG437">
            <v>6</v>
          </cell>
          <cell r="AH437">
            <v>5</v>
          </cell>
          <cell r="AJ437">
            <v>0.14060594678535354</v>
          </cell>
          <cell r="AK437" t="str">
            <v>FZ with SLR</v>
          </cell>
        </row>
        <row r="438">
          <cell r="Y438" t="str">
            <v>Single Family Detached</v>
          </cell>
          <cell r="AG438">
            <v>6</v>
          </cell>
          <cell r="AH438">
            <v>5</v>
          </cell>
          <cell r="AJ438">
            <v>0.34959444827594122</v>
          </cell>
          <cell r="AK438" t="str">
            <v>FZ with SLR</v>
          </cell>
        </row>
        <row r="439">
          <cell r="Y439" t="str">
            <v>Single Family Detached</v>
          </cell>
          <cell r="AG439">
            <v>6</v>
          </cell>
          <cell r="AH439">
            <v>5</v>
          </cell>
          <cell r="AJ439">
            <v>0.12371601377272727</v>
          </cell>
          <cell r="AK439" t="str">
            <v>FZ with SLR</v>
          </cell>
        </row>
        <row r="440">
          <cell r="Y440" t="str">
            <v>Single Family Detached</v>
          </cell>
          <cell r="AG440">
            <v>6</v>
          </cell>
          <cell r="AH440">
            <v>5</v>
          </cell>
          <cell r="AJ440">
            <v>0.11428064778236915</v>
          </cell>
          <cell r="AK440" t="str">
            <v>FZ with SLR</v>
          </cell>
        </row>
        <row r="441">
          <cell r="Y441" t="str">
            <v>Single Family Detached</v>
          </cell>
          <cell r="AG441">
            <v>6</v>
          </cell>
          <cell r="AH441">
            <v>5</v>
          </cell>
          <cell r="AJ441">
            <v>0.12142326190358127</v>
          </cell>
          <cell r="AK441" t="str">
            <v>FZ with SLR</v>
          </cell>
        </row>
        <row r="442">
          <cell r="Y442" t="str">
            <v>Single Family Detached</v>
          </cell>
          <cell r="AG442">
            <v>6</v>
          </cell>
          <cell r="AH442">
            <v>10</v>
          </cell>
          <cell r="AJ442">
            <v>0.12428794197474748</v>
          </cell>
          <cell r="AK442" t="str">
            <v>FZ with SLR</v>
          </cell>
        </row>
        <row r="443">
          <cell r="Y443" t="str">
            <v>Single Family Detached</v>
          </cell>
          <cell r="AG443">
            <v>6</v>
          </cell>
          <cell r="AH443">
            <v>5</v>
          </cell>
          <cell r="AJ443">
            <v>0.12888083034779615</v>
          </cell>
          <cell r="AK443" t="str">
            <v>FZ with SLR</v>
          </cell>
        </row>
        <row r="444">
          <cell r="Y444" t="str">
            <v>Single Family Detached</v>
          </cell>
          <cell r="AG444">
            <v>6</v>
          </cell>
          <cell r="AH444">
            <v>5</v>
          </cell>
          <cell r="AJ444">
            <v>0.12338881902685951</v>
          </cell>
          <cell r="AK444" t="str">
            <v>FZ with SLR</v>
          </cell>
        </row>
        <row r="445">
          <cell r="Y445" t="str">
            <v>Single Family Detached</v>
          </cell>
          <cell r="AG445">
            <v>6</v>
          </cell>
          <cell r="AH445">
            <v>5</v>
          </cell>
          <cell r="AJ445">
            <v>0.12760919785078054</v>
          </cell>
          <cell r="AK445" t="str">
            <v>FZ with SLR</v>
          </cell>
        </row>
        <row r="446">
          <cell r="Y446" t="str">
            <v>Single Family Detached</v>
          </cell>
          <cell r="AG446">
            <v>6</v>
          </cell>
          <cell r="AH446">
            <v>5</v>
          </cell>
          <cell r="AJ446">
            <v>0.12745723060192837</v>
          </cell>
          <cell r="AK446" t="str">
            <v>FZ with SLR</v>
          </cell>
        </row>
        <row r="447">
          <cell r="Y447" t="str">
            <v>Single Family Detached</v>
          </cell>
          <cell r="AG447">
            <v>6</v>
          </cell>
          <cell r="AH447">
            <v>5</v>
          </cell>
          <cell r="AJ447">
            <v>0.11988486033769513</v>
          </cell>
          <cell r="AK447" t="str">
            <v>FZ with SLR</v>
          </cell>
        </row>
        <row r="448">
          <cell r="Y448" t="str">
            <v>Single Family Detached</v>
          </cell>
          <cell r="AG448">
            <v>6</v>
          </cell>
          <cell r="AH448">
            <v>5</v>
          </cell>
          <cell r="AJ448">
            <v>0.12876335885055099</v>
          </cell>
          <cell r="AK448" t="str">
            <v>FZ with SLR</v>
          </cell>
        </row>
        <row r="449">
          <cell r="Y449" t="str">
            <v>Single Family Detached</v>
          </cell>
          <cell r="AG449">
            <v>6</v>
          </cell>
          <cell r="AH449">
            <v>10</v>
          </cell>
          <cell r="AJ449">
            <v>7.3443676808310376E-2</v>
          </cell>
          <cell r="AK449" t="str">
            <v>FZ with SLR</v>
          </cell>
        </row>
        <row r="450">
          <cell r="Y450" t="str">
            <v>Single Family Detached</v>
          </cell>
          <cell r="AG450">
            <v>6</v>
          </cell>
          <cell r="AH450">
            <v>5</v>
          </cell>
          <cell r="AJ450">
            <v>0.14967839716368228</v>
          </cell>
          <cell r="AK450" t="str">
            <v>FZ with SLR</v>
          </cell>
        </row>
        <row r="451">
          <cell r="Y451" t="str">
            <v>Single Family Detached</v>
          </cell>
          <cell r="AG451">
            <v>6</v>
          </cell>
          <cell r="AH451">
            <v>10</v>
          </cell>
          <cell r="AJ451">
            <v>0.24269891476813588</v>
          </cell>
          <cell r="AK451" t="str">
            <v>FZ with SLR</v>
          </cell>
        </row>
        <row r="452">
          <cell r="Y452" t="str">
            <v>Single Family Detached</v>
          </cell>
          <cell r="AG452">
            <v>6</v>
          </cell>
          <cell r="AH452">
            <v>10</v>
          </cell>
          <cell r="AJ452">
            <v>5.7297543899219462E-2</v>
          </cell>
          <cell r="AK452" t="str">
            <v>FZ with SLR</v>
          </cell>
        </row>
        <row r="453">
          <cell r="Y453" t="str">
            <v>Single Family Detached</v>
          </cell>
          <cell r="AG453">
            <v>6</v>
          </cell>
          <cell r="AH453">
            <v>10</v>
          </cell>
          <cell r="AJ453">
            <v>0.13305186265426996</v>
          </cell>
          <cell r="AK453" t="str">
            <v>FZ with SLR</v>
          </cell>
        </row>
        <row r="454">
          <cell r="Y454" t="str">
            <v>Single Family Detached</v>
          </cell>
          <cell r="AG454">
            <v>6</v>
          </cell>
          <cell r="AH454">
            <v>5</v>
          </cell>
          <cell r="AJ454">
            <v>9.590065017056934E-2</v>
          </cell>
          <cell r="AK454" t="str">
            <v>FZ with SLR</v>
          </cell>
        </row>
        <row r="455">
          <cell r="Y455" t="str">
            <v>Single Family Detached</v>
          </cell>
          <cell r="AG455">
            <v>6</v>
          </cell>
          <cell r="AH455">
            <v>5</v>
          </cell>
          <cell r="AJ455">
            <v>8.5286690291781458E-2</v>
          </cell>
          <cell r="AK455" t="str">
            <v>FZ with SLR</v>
          </cell>
        </row>
        <row r="456">
          <cell r="Y456" t="str">
            <v>Single Family Detached</v>
          </cell>
          <cell r="AG456">
            <v>6</v>
          </cell>
          <cell r="AH456">
            <v>5</v>
          </cell>
          <cell r="AJ456">
            <v>8.402080650321396E-2</v>
          </cell>
          <cell r="AK456" t="str">
            <v>FZ with SLR</v>
          </cell>
        </row>
        <row r="457">
          <cell r="Y457" t="str">
            <v>Single Family Detached</v>
          </cell>
          <cell r="AG457">
            <v>6</v>
          </cell>
          <cell r="AH457">
            <v>5</v>
          </cell>
          <cell r="AJ457">
            <v>8.5259636289944901E-2</v>
          </cell>
          <cell r="AK457" t="str">
            <v>FZ with SLR</v>
          </cell>
        </row>
        <row r="458">
          <cell r="Y458" t="str">
            <v>Single Family Detached</v>
          </cell>
          <cell r="AG458">
            <v>6</v>
          </cell>
          <cell r="AH458">
            <v>5</v>
          </cell>
          <cell r="AJ458">
            <v>0.1438596802979798</v>
          </cell>
          <cell r="AK458" t="str">
            <v>FZ with SLR</v>
          </cell>
        </row>
        <row r="459">
          <cell r="Y459" t="str">
            <v>Single Family Detached</v>
          </cell>
          <cell r="AG459">
            <v>6</v>
          </cell>
          <cell r="AH459">
            <v>5</v>
          </cell>
          <cell r="AJ459">
            <v>0.24061918866391185</v>
          </cell>
          <cell r="AK459" t="str">
            <v>FZ with SLR</v>
          </cell>
        </row>
        <row r="460">
          <cell r="Y460" t="str">
            <v>Single Family Detached</v>
          </cell>
          <cell r="AG460">
            <v>6</v>
          </cell>
          <cell r="AH460">
            <v>10</v>
          </cell>
          <cell r="AJ460">
            <v>8.8384861441919191E-2</v>
          </cell>
          <cell r="AK460" t="str">
            <v>FZ with SLR</v>
          </cell>
        </row>
        <row r="461">
          <cell r="Y461" t="str">
            <v>Single Family Detached</v>
          </cell>
          <cell r="AG461">
            <v>3</v>
          </cell>
          <cell r="AH461">
            <v>10</v>
          </cell>
          <cell r="AJ461">
            <v>0.11613050769306703</v>
          </cell>
          <cell r="AK461" t="str">
            <v>FZ with SLR</v>
          </cell>
        </row>
        <row r="462">
          <cell r="Y462" t="str">
            <v>Single Family Detached</v>
          </cell>
          <cell r="AG462">
            <v>6</v>
          </cell>
          <cell r="AH462">
            <v>10</v>
          </cell>
          <cell r="AJ462">
            <v>0.22704711835353536</v>
          </cell>
          <cell r="AK462" t="str">
            <v>FZ with SLR</v>
          </cell>
        </row>
        <row r="463">
          <cell r="Y463" t="str">
            <v>Single Family Detached</v>
          </cell>
          <cell r="AG463">
            <v>6</v>
          </cell>
          <cell r="AH463">
            <v>10</v>
          </cell>
          <cell r="AJ463">
            <v>5.8509883668044077E-2</v>
          </cell>
          <cell r="AK463" t="str">
            <v>FZ with SLR</v>
          </cell>
        </row>
        <row r="464">
          <cell r="Y464" t="str">
            <v>Single Family Detached</v>
          </cell>
          <cell r="AG464">
            <v>6</v>
          </cell>
          <cell r="AH464">
            <v>10</v>
          </cell>
          <cell r="AJ464">
            <v>0.12765785309022037</v>
          </cell>
          <cell r="AK464" t="str">
            <v>FZ with SLR</v>
          </cell>
        </row>
        <row r="465">
          <cell r="Y465" t="str">
            <v>Single Family Detached</v>
          </cell>
          <cell r="AG465">
            <v>6</v>
          </cell>
          <cell r="AH465">
            <v>10</v>
          </cell>
          <cell r="AJ465">
            <v>0.11607755319559229</v>
          </cell>
          <cell r="AK465" t="str">
            <v>FZ with SLR</v>
          </cell>
        </row>
        <row r="466">
          <cell r="Y466" t="str">
            <v>Single Family Detached</v>
          </cell>
          <cell r="AG466">
            <v>6</v>
          </cell>
          <cell r="AH466">
            <v>10</v>
          </cell>
          <cell r="AJ466">
            <v>0.12597380132736455</v>
          </cell>
          <cell r="AK466" t="str">
            <v>FZ with SLR</v>
          </cell>
        </row>
        <row r="467">
          <cell r="Y467" t="str">
            <v>Single Family Detached</v>
          </cell>
          <cell r="AG467">
            <v>6</v>
          </cell>
          <cell r="AH467">
            <v>10</v>
          </cell>
          <cell r="AJ467">
            <v>0.11595520333218548</v>
          </cell>
          <cell r="AK467" t="str">
            <v>FZ with SLR</v>
          </cell>
        </row>
        <row r="468">
          <cell r="Y468" t="str">
            <v>Single Family Detached</v>
          </cell>
          <cell r="AG468">
            <v>5</v>
          </cell>
          <cell r="AH468">
            <v>10</v>
          </cell>
          <cell r="AJ468">
            <v>0.12687029220477503</v>
          </cell>
          <cell r="AK468" t="str">
            <v>FZ with SLR</v>
          </cell>
        </row>
        <row r="469">
          <cell r="Y469" t="str">
            <v>Single Family Detached</v>
          </cell>
          <cell r="AG469">
            <v>5</v>
          </cell>
          <cell r="AH469">
            <v>10</v>
          </cell>
          <cell r="AJ469">
            <v>0.11645259325573921</v>
          </cell>
          <cell r="AK469" t="str">
            <v>FZ with SLR</v>
          </cell>
        </row>
        <row r="470">
          <cell r="Y470" t="str">
            <v>Single Family Detached</v>
          </cell>
          <cell r="AG470">
            <v>0</v>
          </cell>
          <cell r="AH470">
            <v>10</v>
          </cell>
          <cell r="AJ470">
            <v>0.27240484485766758</v>
          </cell>
          <cell r="AK470" t="str">
            <v>FZ with SLR</v>
          </cell>
        </row>
        <row r="471">
          <cell r="Y471" t="str">
            <v>Single Family Detached</v>
          </cell>
          <cell r="AG471">
            <v>0</v>
          </cell>
          <cell r="AH471">
            <v>10</v>
          </cell>
          <cell r="AJ471">
            <v>0.1828289976432507</v>
          </cell>
          <cell r="AK471" t="str">
            <v>FZ with SLR</v>
          </cell>
        </row>
        <row r="472">
          <cell r="Y472" t="str">
            <v>Single Family Detached</v>
          </cell>
          <cell r="AG472">
            <v>0</v>
          </cell>
          <cell r="AH472">
            <v>10</v>
          </cell>
          <cell r="AJ472">
            <v>0.2610053836937557</v>
          </cell>
          <cell r="AK472" t="str">
            <v>FZ with SLR</v>
          </cell>
        </row>
        <row r="473">
          <cell r="Y473" t="str">
            <v>Single Family Vacant</v>
          </cell>
          <cell r="AG473">
            <v>0</v>
          </cell>
          <cell r="AH473">
            <v>10</v>
          </cell>
          <cell r="AJ473">
            <v>0.1590665771577135</v>
          </cell>
          <cell r="AK473" t="str">
            <v>FZ with SLR</v>
          </cell>
        </row>
        <row r="474">
          <cell r="Y474" t="str">
            <v>Single Family Vacant</v>
          </cell>
          <cell r="AG474">
            <v>0</v>
          </cell>
          <cell r="AH474">
            <v>10</v>
          </cell>
          <cell r="AJ474">
            <v>0.1557886431111111</v>
          </cell>
          <cell r="AK474" t="str">
            <v>FZ with SLR</v>
          </cell>
        </row>
        <row r="475">
          <cell r="Y475" t="str">
            <v>Single Family Detached</v>
          </cell>
          <cell r="AG475">
            <v>0</v>
          </cell>
          <cell r="AH475">
            <v>10</v>
          </cell>
          <cell r="AJ475">
            <v>0.59494277180440769</v>
          </cell>
          <cell r="AK475" t="str">
            <v>FZ with SLR</v>
          </cell>
        </row>
        <row r="476">
          <cell r="Y476" t="str">
            <v>Single Family Detached</v>
          </cell>
          <cell r="AG476">
            <v>0</v>
          </cell>
          <cell r="AH476">
            <v>10</v>
          </cell>
          <cell r="AJ476">
            <v>0.37619068669191918</v>
          </cell>
          <cell r="AK476" t="str">
            <v>FZ with SLR</v>
          </cell>
        </row>
        <row r="477">
          <cell r="Y477" t="str">
            <v>Single Family Detached</v>
          </cell>
          <cell r="AG477">
            <v>0</v>
          </cell>
          <cell r="AH477">
            <v>10</v>
          </cell>
          <cell r="AJ477">
            <v>0.10582595562190082</v>
          </cell>
          <cell r="AK477" t="str">
            <v>FZ with SLR</v>
          </cell>
        </row>
        <row r="478">
          <cell r="Y478" t="str">
            <v>Single Family Detached</v>
          </cell>
          <cell r="AG478">
            <v>0</v>
          </cell>
          <cell r="AH478">
            <v>10</v>
          </cell>
          <cell r="AJ478">
            <v>0.10479927918549127</v>
          </cell>
          <cell r="AK478" t="str">
            <v>FZ with SLR</v>
          </cell>
        </row>
        <row r="479">
          <cell r="Y479" t="str">
            <v>Single Family Detached</v>
          </cell>
          <cell r="AG479">
            <v>0</v>
          </cell>
          <cell r="AH479">
            <v>10</v>
          </cell>
          <cell r="AJ479">
            <v>0.15631454655303029</v>
          </cell>
          <cell r="AK479" t="str">
            <v>FZ with SLR</v>
          </cell>
        </row>
        <row r="480">
          <cell r="Y480" t="str">
            <v>Single Family Detached</v>
          </cell>
          <cell r="AG480">
            <v>1</v>
          </cell>
          <cell r="AH480">
            <v>10</v>
          </cell>
          <cell r="AJ480">
            <v>0.17633067534825528</v>
          </cell>
          <cell r="AK480" t="str">
            <v>FZ with SLR</v>
          </cell>
        </row>
        <row r="481">
          <cell r="Y481" t="str">
            <v>Single Family Detached</v>
          </cell>
          <cell r="AG481">
            <v>0</v>
          </cell>
          <cell r="AH481">
            <v>10</v>
          </cell>
          <cell r="AJ481">
            <v>0.22070181836157024</v>
          </cell>
          <cell r="AK481" t="str">
            <v>FZ with SLR</v>
          </cell>
        </row>
        <row r="482">
          <cell r="Y482" t="str">
            <v>Single Family Detached</v>
          </cell>
          <cell r="AG482">
            <v>0</v>
          </cell>
          <cell r="AH482">
            <v>10</v>
          </cell>
          <cell r="AJ482">
            <v>0.59783918709825523</v>
          </cell>
          <cell r="AK482" t="str">
            <v>FZ with SLR</v>
          </cell>
        </row>
        <row r="483">
          <cell r="Y483" t="str">
            <v>Single Family Detached</v>
          </cell>
          <cell r="AG483">
            <v>0</v>
          </cell>
          <cell r="AH483">
            <v>10</v>
          </cell>
          <cell r="AJ483">
            <v>0.19456503143709825</v>
          </cell>
          <cell r="AK483" t="str">
            <v>FZ with SLR</v>
          </cell>
        </row>
        <row r="484">
          <cell r="Y484" t="str">
            <v>Single Family Detached</v>
          </cell>
          <cell r="AG484">
            <v>0</v>
          </cell>
          <cell r="AH484">
            <v>10</v>
          </cell>
          <cell r="AJ484">
            <v>0.19574754157162533</v>
          </cell>
          <cell r="AK484" t="str">
            <v>FZ with SLR</v>
          </cell>
        </row>
        <row r="485">
          <cell r="Y485" t="str">
            <v>Single Family Detached</v>
          </cell>
          <cell r="AG485">
            <v>0</v>
          </cell>
          <cell r="AH485">
            <v>10</v>
          </cell>
          <cell r="AJ485">
            <v>0.1938334874077135</v>
          </cell>
          <cell r="AK485" t="str">
            <v>FZ with SLR</v>
          </cell>
        </row>
        <row r="486">
          <cell r="Y486" t="str">
            <v>Single Family Detached</v>
          </cell>
          <cell r="AG486">
            <v>0</v>
          </cell>
          <cell r="AH486">
            <v>10</v>
          </cell>
          <cell r="AJ486">
            <v>0.19500452616620756</v>
          </cell>
          <cell r="AK486" t="str">
            <v>FZ with SLR</v>
          </cell>
        </row>
        <row r="487">
          <cell r="Y487" t="str">
            <v>Single Family Detached</v>
          </cell>
          <cell r="AG487">
            <v>0</v>
          </cell>
          <cell r="AH487">
            <v>10</v>
          </cell>
          <cell r="AJ487">
            <v>0.26105282778466482</v>
          </cell>
          <cell r="AK487" t="str">
            <v>FZ with SLR</v>
          </cell>
        </row>
        <row r="488">
          <cell r="Y488" t="str">
            <v>Single Family Detached</v>
          </cell>
          <cell r="AG488">
            <v>0</v>
          </cell>
          <cell r="AH488">
            <v>10</v>
          </cell>
          <cell r="AJ488">
            <v>0.1944046489506428</v>
          </cell>
          <cell r="AK488" t="str">
            <v>FZ with SLR</v>
          </cell>
        </row>
        <row r="489">
          <cell r="Y489" t="str">
            <v>Single Family Detached</v>
          </cell>
          <cell r="AG489">
            <v>0</v>
          </cell>
          <cell r="AH489">
            <v>10</v>
          </cell>
          <cell r="AJ489">
            <v>0.21121817680119376</v>
          </cell>
          <cell r="AK489" t="str">
            <v>FZ with SLR</v>
          </cell>
        </row>
        <row r="490">
          <cell r="Y490" t="str">
            <v>Single Family Vacant</v>
          </cell>
          <cell r="AG490">
            <v>0</v>
          </cell>
          <cell r="AH490">
            <v>10</v>
          </cell>
          <cell r="AJ490">
            <v>0.43486440836547291</v>
          </cell>
          <cell r="AK490" t="str">
            <v>FZ with SLR</v>
          </cell>
        </row>
        <row r="491">
          <cell r="Y491" t="str">
            <v>Single Family Vacant</v>
          </cell>
          <cell r="AG491">
            <v>2</v>
          </cell>
          <cell r="AH491">
            <v>10</v>
          </cell>
          <cell r="AJ491">
            <v>6.02892034993113E-2</v>
          </cell>
          <cell r="AK491" t="str">
            <v>FZ with SLR</v>
          </cell>
        </row>
        <row r="492">
          <cell r="Y492" t="str">
            <v>Single Family Detached</v>
          </cell>
          <cell r="AG492">
            <v>1</v>
          </cell>
          <cell r="AH492">
            <v>10</v>
          </cell>
          <cell r="AJ492">
            <v>0.15923070303236914</v>
          </cell>
          <cell r="AK492" t="str">
            <v>FZ with SLR</v>
          </cell>
        </row>
        <row r="493">
          <cell r="Y493" t="str">
            <v>Single Family Detached</v>
          </cell>
          <cell r="AG493">
            <v>0</v>
          </cell>
          <cell r="AH493">
            <v>10</v>
          </cell>
          <cell r="AJ493">
            <v>5.206702029040404E-2</v>
          </cell>
          <cell r="AK493" t="str">
            <v>FZ with SLR</v>
          </cell>
        </row>
        <row r="494">
          <cell r="Y494" t="str">
            <v>Single Family Detached</v>
          </cell>
          <cell r="AG494">
            <v>1</v>
          </cell>
          <cell r="AH494">
            <v>10</v>
          </cell>
          <cell r="AJ494">
            <v>0.17314931330119376</v>
          </cell>
          <cell r="AK494" t="str">
            <v>FZ with SLR</v>
          </cell>
        </row>
        <row r="495">
          <cell r="Y495" t="str">
            <v>Single Family Detached</v>
          </cell>
          <cell r="AG495">
            <v>0</v>
          </cell>
          <cell r="AH495">
            <v>10</v>
          </cell>
          <cell r="AJ495">
            <v>0.16278425453007347</v>
          </cell>
          <cell r="AK495" t="str">
            <v>FZ with SLR</v>
          </cell>
        </row>
        <row r="496">
          <cell r="Y496" t="str">
            <v>Single Family Detached</v>
          </cell>
          <cell r="AG496">
            <v>1</v>
          </cell>
          <cell r="AH496">
            <v>10</v>
          </cell>
          <cell r="AJ496">
            <v>0.12886650491322313</v>
          </cell>
          <cell r="AK496" t="str">
            <v>FZ with SLR</v>
          </cell>
        </row>
        <row r="497">
          <cell r="Y497" t="str">
            <v>Single Family Detached</v>
          </cell>
          <cell r="AG497">
            <v>0</v>
          </cell>
          <cell r="AH497">
            <v>10</v>
          </cell>
          <cell r="AJ497">
            <v>0.13634731708608816</v>
          </cell>
          <cell r="AK497" t="str">
            <v>FZ with SLR</v>
          </cell>
        </row>
        <row r="498">
          <cell r="Y498" t="str">
            <v>Single Family Vacant</v>
          </cell>
          <cell r="AG498">
            <v>0</v>
          </cell>
          <cell r="AH498">
            <v>10</v>
          </cell>
          <cell r="AJ498">
            <v>0.14163612025091829</v>
          </cell>
          <cell r="AK498" t="str">
            <v>FZ with SLR</v>
          </cell>
        </row>
        <row r="499">
          <cell r="Y499" t="str">
            <v>Single Family Vacant</v>
          </cell>
          <cell r="AG499">
            <v>0</v>
          </cell>
          <cell r="AH499">
            <v>10</v>
          </cell>
          <cell r="AJ499">
            <v>9.5725449469696966E-2</v>
          </cell>
          <cell r="AK499" t="str">
            <v>FZ with SLR</v>
          </cell>
        </row>
        <row r="500">
          <cell r="Y500" t="str">
            <v>Single Family Detached</v>
          </cell>
          <cell r="AG500">
            <v>0</v>
          </cell>
          <cell r="AH500">
            <v>10</v>
          </cell>
          <cell r="AJ500">
            <v>0.13803564553994491</v>
          </cell>
          <cell r="AK500" t="str">
            <v>FZ with SLR</v>
          </cell>
        </row>
        <row r="501">
          <cell r="Y501" t="str">
            <v>Single Family Detached</v>
          </cell>
          <cell r="AG501">
            <v>0</v>
          </cell>
          <cell r="AH501">
            <v>10</v>
          </cell>
          <cell r="AJ501">
            <v>6.5816642988751145E-2</v>
          </cell>
          <cell r="AK501" t="str">
            <v>FZ with SLR</v>
          </cell>
        </row>
        <row r="502">
          <cell r="Y502" t="str">
            <v>Single Family Detached</v>
          </cell>
          <cell r="AG502">
            <v>0</v>
          </cell>
          <cell r="AH502">
            <v>10</v>
          </cell>
          <cell r="AJ502">
            <v>7.0177192628099183E-2</v>
          </cell>
          <cell r="AK502" t="str">
            <v>FZ with SLR</v>
          </cell>
        </row>
        <row r="503">
          <cell r="Y503" t="str">
            <v>Single Family Detached</v>
          </cell>
          <cell r="AG503">
            <v>0</v>
          </cell>
          <cell r="AH503">
            <v>10</v>
          </cell>
          <cell r="AJ503">
            <v>5.4275992409779615E-2</v>
          </cell>
          <cell r="AK503" t="str">
            <v>FZ with SLR</v>
          </cell>
        </row>
        <row r="504">
          <cell r="Y504" t="str">
            <v>Single Family Detached</v>
          </cell>
          <cell r="AG504">
            <v>0</v>
          </cell>
          <cell r="AH504">
            <v>10</v>
          </cell>
          <cell r="AJ504">
            <v>0.13487700036776859</v>
          </cell>
          <cell r="AK504" t="str">
            <v>FZ with SLR</v>
          </cell>
        </row>
        <row r="505">
          <cell r="Y505" t="str">
            <v>Single Family Detached</v>
          </cell>
          <cell r="AG505">
            <v>0</v>
          </cell>
          <cell r="AH505">
            <v>10</v>
          </cell>
          <cell r="AJ505">
            <v>0.15757371085973371</v>
          </cell>
          <cell r="AK505" t="str">
            <v>FZ with SLR</v>
          </cell>
        </row>
        <row r="506">
          <cell r="Y506" t="str">
            <v>Single Family Detached</v>
          </cell>
          <cell r="AG506">
            <v>0</v>
          </cell>
          <cell r="AH506">
            <v>10</v>
          </cell>
          <cell r="AJ506">
            <v>0.12305227768296602</v>
          </cell>
          <cell r="AK506" t="str">
            <v>FZ with SLR</v>
          </cell>
        </row>
        <row r="507">
          <cell r="Y507" t="str">
            <v>Single Family Detached</v>
          </cell>
          <cell r="AG507">
            <v>0</v>
          </cell>
          <cell r="AH507">
            <v>10</v>
          </cell>
          <cell r="AJ507">
            <v>0.13518731362144168</v>
          </cell>
          <cell r="AK507" t="str">
            <v>FZ with SLR</v>
          </cell>
        </row>
        <row r="508">
          <cell r="Y508" t="str">
            <v>Single Family Detached</v>
          </cell>
          <cell r="AG508">
            <v>0</v>
          </cell>
          <cell r="AH508">
            <v>10</v>
          </cell>
          <cell r="AJ508">
            <v>0.13522098615472911</v>
          </cell>
          <cell r="AK508" t="str">
            <v>FZ with SLR</v>
          </cell>
        </row>
        <row r="509">
          <cell r="Y509" t="str">
            <v>Single Family Detached</v>
          </cell>
          <cell r="AG509">
            <v>0</v>
          </cell>
          <cell r="AH509">
            <v>10</v>
          </cell>
          <cell r="AJ509">
            <v>0.13555145016391185</v>
          </cell>
          <cell r="AK509" t="str">
            <v>FZ with SLR</v>
          </cell>
        </row>
        <row r="510">
          <cell r="Y510" t="str">
            <v>Single Family Detached</v>
          </cell>
          <cell r="AG510">
            <v>0</v>
          </cell>
          <cell r="AH510">
            <v>10</v>
          </cell>
          <cell r="AJ510">
            <v>0.13301404266253444</v>
          </cell>
          <cell r="AK510" t="str">
            <v>FZ with SLR</v>
          </cell>
        </row>
        <row r="511">
          <cell r="Y511" t="str">
            <v>Single Family Detached</v>
          </cell>
          <cell r="AG511">
            <v>0</v>
          </cell>
          <cell r="AH511">
            <v>10</v>
          </cell>
          <cell r="AJ511">
            <v>0.12661190856611571</v>
          </cell>
          <cell r="AK511" t="str">
            <v>FZ with SLR</v>
          </cell>
        </row>
        <row r="512">
          <cell r="Y512" t="str">
            <v>Single Family Detached</v>
          </cell>
          <cell r="AG512">
            <v>0</v>
          </cell>
          <cell r="AH512">
            <v>10</v>
          </cell>
          <cell r="AJ512">
            <v>0.1545882805254821</v>
          </cell>
          <cell r="AK512" t="str">
            <v>FZ with SLR</v>
          </cell>
        </row>
        <row r="513">
          <cell r="Y513" t="str">
            <v>Single Family Detached</v>
          </cell>
          <cell r="AG513">
            <v>0</v>
          </cell>
          <cell r="AH513">
            <v>10</v>
          </cell>
          <cell r="AJ513">
            <v>0.13572999125826446</v>
          </cell>
          <cell r="AK513" t="str">
            <v>FZ with SLR</v>
          </cell>
        </row>
        <row r="514">
          <cell r="Y514" t="str">
            <v>Single Family Detached</v>
          </cell>
          <cell r="AG514">
            <v>0</v>
          </cell>
          <cell r="AH514">
            <v>10</v>
          </cell>
          <cell r="AJ514">
            <v>0.14093212253236914</v>
          </cell>
          <cell r="AK514" t="str">
            <v>FZ with SLR</v>
          </cell>
        </row>
        <row r="515">
          <cell r="Y515" t="str">
            <v>Single Family Vacant</v>
          </cell>
          <cell r="AG515">
            <v>0</v>
          </cell>
          <cell r="AH515">
            <v>10</v>
          </cell>
          <cell r="AJ515">
            <v>0.12870325925757575</v>
          </cell>
          <cell r="AK515" t="str">
            <v>FZ with SLR</v>
          </cell>
        </row>
        <row r="516">
          <cell r="Y516" t="str">
            <v>Single Family Detached</v>
          </cell>
          <cell r="AG516">
            <v>0</v>
          </cell>
          <cell r="AH516">
            <v>10</v>
          </cell>
          <cell r="AJ516">
            <v>0.11785484933562902</v>
          </cell>
          <cell r="AK516" t="str">
            <v>FZ with SLR</v>
          </cell>
        </row>
        <row r="517">
          <cell r="Y517" t="str">
            <v>Single Family Detached</v>
          </cell>
          <cell r="AG517">
            <v>0</v>
          </cell>
          <cell r="AH517">
            <v>10</v>
          </cell>
          <cell r="AJ517">
            <v>0.14408921690426998</v>
          </cell>
          <cell r="AK517" t="str">
            <v>FZ with SLR</v>
          </cell>
        </row>
        <row r="518">
          <cell r="Y518" t="str">
            <v>Single Family Detached</v>
          </cell>
          <cell r="AG518">
            <v>0</v>
          </cell>
          <cell r="AH518">
            <v>10</v>
          </cell>
          <cell r="AJ518">
            <v>0.12813500384573004</v>
          </cell>
          <cell r="AK518" t="str">
            <v>FZ with SLR</v>
          </cell>
        </row>
        <row r="519">
          <cell r="Y519" t="str">
            <v>Single Family Detached</v>
          </cell>
          <cell r="AG519">
            <v>0</v>
          </cell>
          <cell r="AH519">
            <v>10</v>
          </cell>
          <cell r="AJ519">
            <v>0.12908084250987142</v>
          </cell>
          <cell r="AK519" t="str">
            <v>FZ with SLR</v>
          </cell>
        </row>
        <row r="520">
          <cell r="Y520" t="str">
            <v>Single Family Detached</v>
          </cell>
          <cell r="AG520">
            <v>0</v>
          </cell>
          <cell r="AH520">
            <v>10</v>
          </cell>
          <cell r="AJ520">
            <v>0.13052216208310374</v>
          </cell>
          <cell r="AK520" t="str">
            <v>FZ with SLR</v>
          </cell>
        </row>
        <row r="521">
          <cell r="Y521" t="str">
            <v>Single Family Vacant</v>
          </cell>
          <cell r="AG521">
            <v>0</v>
          </cell>
          <cell r="AH521">
            <v>10</v>
          </cell>
          <cell r="AJ521">
            <v>0.12551092968434344</v>
          </cell>
          <cell r="AK521" t="str">
            <v>FZ with SLR</v>
          </cell>
        </row>
        <row r="522">
          <cell r="Y522" t="str">
            <v>Single Family Vacant</v>
          </cell>
          <cell r="AG522">
            <v>0</v>
          </cell>
          <cell r="AH522">
            <v>10</v>
          </cell>
          <cell r="AJ522">
            <v>0.12250519540495867</v>
          </cell>
          <cell r="AK522" t="str">
            <v>FZ with SLR</v>
          </cell>
        </row>
        <row r="523">
          <cell r="Y523" t="str">
            <v>Single Family Detached</v>
          </cell>
          <cell r="AG523">
            <v>0</v>
          </cell>
          <cell r="AH523">
            <v>10</v>
          </cell>
          <cell r="AJ523">
            <v>0.12217722191023875</v>
          </cell>
          <cell r="AK523" t="str">
            <v>FZ with SLR</v>
          </cell>
        </row>
        <row r="524">
          <cell r="Y524" t="str">
            <v>Single Family Vacant</v>
          </cell>
          <cell r="AG524">
            <v>0</v>
          </cell>
          <cell r="AH524">
            <v>10</v>
          </cell>
          <cell r="AJ524">
            <v>0.15996321786593204</v>
          </cell>
          <cell r="AK524" t="str">
            <v>FZ with SLR</v>
          </cell>
        </row>
        <row r="525">
          <cell r="Y525" t="str">
            <v>Single Family Detached</v>
          </cell>
          <cell r="AG525">
            <v>0</v>
          </cell>
          <cell r="AH525">
            <v>10</v>
          </cell>
          <cell r="AJ525">
            <v>0.15160682945661155</v>
          </cell>
          <cell r="AK525" t="str">
            <v>FZ with SLR</v>
          </cell>
        </row>
        <row r="526">
          <cell r="Y526" t="str">
            <v>Single Family Vacant</v>
          </cell>
          <cell r="AG526">
            <v>0</v>
          </cell>
          <cell r="AH526">
            <v>10</v>
          </cell>
          <cell r="AJ526">
            <v>0.1339107299811754</v>
          </cell>
          <cell r="AK526" t="str">
            <v>FZ with SLR</v>
          </cell>
        </row>
        <row r="527">
          <cell r="Y527" t="str">
            <v>Single Family Detached</v>
          </cell>
          <cell r="AG527">
            <v>0</v>
          </cell>
          <cell r="AH527">
            <v>10</v>
          </cell>
          <cell r="AJ527">
            <v>0.1269250761597796</v>
          </cell>
          <cell r="AK527" t="str">
            <v>FZ with SLR</v>
          </cell>
        </row>
        <row r="528">
          <cell r="Y528" t="str">
            <v>Single Family Detached</v>
          </cell>
          <cell r="AG528">
            <v>0</v>
          </cell>
          <cell r="AH528">
            <v>10</v>
          </cell>
          <cell r="AJ528">
            <v>0.12580176915541783</v>
          </cell>
          <cell r="AK528" t="str">
            <v>FZ with SLR</v>
          </cell>
        </row>
        <row r="529">
          <cell r="Y529" t="str">
            <v>Single Family Vacant</v>
          </cell>
          <cell r="AG529">
            <v>0</v>
          </cell>
          <cell r="AH529">
            <v>10</v>
          </cell>
          <cell r="AJ529">
            <v>0.12689168071671258</v>
          </cell>
          <cell r="AK529" t="str">
            <v>FZ with SLR</v>
          </cell>
        </row>
        <row r="530">
          <cell r="Y530" t="str">
            <v>Single Family Detached</v>
          </cell>
          <cell r="AG530">
            <v>0</v>
          </cell>
          <cell r="AH530">
            <v>10</v>
          </cell>
          <cell r="AJ530">
            <v>0.13280227457254362</v>
          </cell>
          <cell r="AK530" t="str">
            <v>FZ with SLR</v>
          </cell>
        </row>
        <row r="531">
          <cell r="Y531" t="str">
            <v>Single Family Detached</v>
          </cell>
          <cell r="AG531">
            <v>0</v>
          </cell>
          <cell r="AH531">
            <v>10</v>
          </cell>
          <cell r="AJ531">
            <v>0.12633803818709824</v>
          </cell>
          <cell r="AK531" t="str">
            <v>FZ with SLR</v>
          </cell>
        </row>
        <row r="532">
          <cell r="Y532" t="str">
            <v>Single Family Vacant</v>
          </cell>
          <cell r="AG532">
            <v>0</v>
          </cell>
          <cell r="AH532">
            <v>10</v>
          </cell>
          <cell r="AJ532">
            <v>0.12483009914830119</v>
          </cell>
          <cell r="AK532" t="str">
            <v>FZ with SLR</v>
          </cell>
        </row>
        <row r="533">
          <cell r="Y533" t="str">
            <v>Single Family Vacant</v>
          </cell>
          <cell r="AG533">
            <v>0</v>
          </cell>
          <cell r="AH533">
            <v>10</v>
          </cell>
          <cell r="AJ533">
            <v>0.1213220599237833</v>
          </cell>
          <cell r="AK533" t="str">
            <v>FZ with SLR</v>
          </cell>
        </row>
        <row r="534">
          <cell r="Y534" t="str">
            <v>Single Family Detached</v>
          </cell>
          <cell r="AG534">
            <v>0</v>
          </cell>
          <cell r="AH534">
            <v>10</v>
          </cell>
          <cell r="AJ534">
            <v>4.8082047477731871E-2</v>
          </cell>
          <cell r="AK534" t="str">
            <v>FZ with SLR</v>
          </cell>
        </row>
        <row r="535">
          <cell r="Y535" t="str">
            <v>Single Family Detached</v>
          </cell>
          <cell r="AG535">
            <v>0</v>
          </cell>
          <cell r="AH535">
            <v>10</v>
          </cell>
          <cell r="AJ535">
            <v>0.10155673428305785</v>
          </cell>
          <cell r="AK535" t="str">
            <v>FZ with SLR</v>
          </cell>
        </row>
        <row r="536">
          <cell r="Y536" t="str">
            <v>Single Family Detached</v>
          </cell>
          <cell r="AG536">
            <v>0</v>
          </cell>
          <cell r="AH536">
            <v>10</v>
          </cell>
          <cell r="AJ536">
            <v>7.1591499692148758E-2</v>
          </cell>
          <cell r="AK536" t="str">
            <v>FZ with SLR</v>
          </cell>
        </row>
        <row r="537">
          <cell r="Y537" t="str">
            <v>Single Family Detached</v>
          </cell>
          <cell r="AG537">
            <v>0</v>
          </cell>
          <cell r="AH537">
            <v>10</v>
          </cell>
          <cell r="AJ537">
            <v>4.7924049564049581E-2</v>
          </cell>
          <cell r="AK537" t="str">
            <v>FZ with SLR</v>
          </cell>
        </row>
        <row r="538">
          <cell r="Y538" t="str">
            <v>Single Family Detached</v>
          </cell>
          <cell r="AG538">
            <v>0</v>
          </cell>
          <cell r="AH538">
            <v>10</v>
          </cell>
          <cell r="AJ538">
            <v>5.9318843933654733E-2</v>
          </cell>
          <cell r="AK538" t="str">
            <v>FZ with SLR</v>
          </cell>
        </row>
        <row r="539">
          <cell r="Y539" t="str">
            <v>Single Family Detached</v>
          </cell>
          <cell r="AG539">
            <v>0</v>
          </cell>
          <cell r="AH539">
            <v>10</v>
          </cell>
          <cell r="AJ539">
            <v>7.4896086971763087E-2</v>
          </cell>
          <cell r="AK539" t="str">
            <v>FZ with SLR</v>
          </cell>
        </row>
        <row r="540">
          <cell r="Y540" t="str">
            <v>Single Family Detached</v>
          </cell>
          <cell r="AG540">
            <v>0</v>
          </cell>
          <cell r="AH540">
            <v>10</v>
          </cell>
          <cell r="AJ540">
            <v>5.6441852734848488E-2</v>
          </cell>
          <cell r="AK540" t="str">
            <v>FZ with SLR</v>
          </cell>
        </row>
        <row r="541">
          <cell r="Y541" t="str">
            <v>Single Family Detached</v>
          </cell>
          <cell r="AG541">
            <v>0</v>
          </cell>
          <cell r="AH541">
            <v>10</v>
          </cell>
          <cell r="AJ541">
            <v>5.4703435965564741E-2</v>
          </cell>
          <cell r="AK541" t="str">
            <v>FZ with SLR</v>
          </cell>
        </row>
        <row r="542">
          <cell r="Y542" t="str">
            <v>Single Family Detached</v>
          </cell>
          <cell r="AG542">
            <v>0</v>
          </cell>
          <cell r="AH542">
            <v>10</v>
          </cell>
          <cell r="AJ542">
            <v>0.25237520358815424</v>
          </cell>
          <cell r="AK542" t="str">
            <v>FZ with SLR</v>
          </cell>
        </row>
        <row r="543">
          <cell r="Y543" t="str">
            <v>Single Family Detached</v>
          </cell>
          <cell r="AG543">
            <v>0</v>
          </cell>
          <cell r="AH543">
            <v>10</v>
          </cell>
          <cell r="AJ543">
            <v>6.2616648067263553E-2</v>
          </cell>
          <cell r="AK543" t="str">
            <v>FZ with SLR</v>
          </cell>
        </row>
        <row r="544">
          <cell r="Y544" t="str">
            <v>Single Family Detached</v>
          </cell>
          <cell r="AG544">
            <v>0</v>
          </cell>
          <cell r="AH544">
            <v>10</v>
          </cell>
          <cell r="AJ544">
            <v>7.3979897410468329E-2</v>
          </cell>
          <cell r="AK544" t="str">
            <v>FZ with SLR</v>
          </cell>
        </row>
        <row r="545">
          <cell r="Y545" t="str">
            <v>Single Family Detached</v>
          </cell>
          <cell r="AG545">
            <v>0</v>
          </cell>
          <cell r="AH545">
            <v>10</v>
          </cell>
          <cell r="AJ545">
            <v>0.10691137714944902</v>
          </cell>
          <cell r="AK545" t="str">
            <v>FZ with SLR</v>
          </cell>
        </row>
        <row r="546">
          <cell r="Y546" t="str">
            <v>Single Family Detached</v>
          </cell>
          <cell r="AG546">
            <v>0</v>
          </cell>
          <cell r="AH546">
            <v>10</v>
          </cell>
          <cell r="AJ546">
            <v>0.12506055943732783</v>
          </cell>
          <cell r="AK546" t="str">
            <v>FZ with SLR</v>
          </cell>
        </row>
        <row r="547">
          <cell r="Y547" t="str">
            <v>Single Family Vacant</v>
          </cell>
          <cell r="AG547">
            <v>0</v>
          </cell>
          <cell r="AH547">
            <v>10</v>
          </cell>
          <cell r="AJ547">
            <v>8.5765892378787872E-2</v>
          </cell>
          <cell r="AK547" t="str">
            <v>FZ with SLR</v>
          </cell>
        </row>
        <row r="548">
          <cell r="Y548" t="str">
            <v>Single Family Detached</v>
          </cell>
          <cell r="AG548">
            <v>0</v>
          </cell>
          <cell r="AH548">
            <v>10</v>
          </cell>
          <cell r="AJ548">
            <v>8.49713634869146E-2</v>
          </cell>
          <cell r="AK548" t="str">
            <v>FZ with SLR</v>
          </cell>
        </row>
        <row r="549">
          <cell r="Y549" t="str">
            <v>Single Family Detached</v>
          </cell>
          <cell r="AG549">
            <v>0</v>
          </cell>
          <cell r="AH549">
            <v>10</v>
          </cell>
          <cell r="AJ549">
            <v>2.5897316947887972</v>
          </cell>
          <cell r="AK549" t="str">
            <v>FZ with SLR</v>
          </cell>
        </row>
        <row r="550">
          <cell r="Y550" t="str">
            <v>Single Family Vacant</v>
          </cell>
          <cell r="AG550">
            <v>0</v>
          </cell>
          <cell r="AH550">
            <v>10</v>
          </cell>
          <cell r="AJ550">
            <v>0.12640867485697888</v>
          </cell>
          <cell r="AK550" t="str">
            <v>FZ with SLR</v>
          </cell>
        </row>
        <row r="551">
          <cell r="Y551" t="str">
            <v>Single Family Detached</v>
          </cell>
          <cell r="AG551">
            <v>0</v>
          </cell>
          <cell r="AH551">
            <v>10</v>
          </cell>
          <cell r="AJ551">
            <v>0.12241608210583103</v>
          </cell>
          <cell r="AK551" t="str">
            <v>FZ with SLR</v>
          </cell>
        </row>
        <row r="552">
          <cell r="Y552" t="str">
            <v>Single Family Detached</v>
          </cell>
          <cell r="AG552">
            <v>0</v>
          </cell>
          <cell r="AH552">
            <v>10</v>
          </cell>
          <cell r="AJ552">
            <v>0.12283212095385676</v>
          </cell>
          <cell r="AK552" t="str">
            <v>FZ with SLR</v>
          </cell>
        </row>
        <row r="553">
          <cell r="Y553" t="str">
            <v>Single Family Detached</v>
          </cell>
          <cell r="AG553">
            <v>0</v>
          </cell>
          <cell r="AH553">
            <v>10</v>
          </cell>
          <cell r="AJ553">
            <v>0.12438007748393021</v>
          </cell>
          <cell r="AK553" t="str">
            <v>FZ with SLR</v>
          </cell>
        </row>
        <row r="554">
          <cell r="Y554" t="str">
            <v>Single Family Vacant</v>
          </cell>
          <cell r="AG554">
            <v>0</v>
          </cell>
          <cell r="AH554">
            <v>10</v>
          </cell>
          <cell r="AJ554">
            <v>0.1305579250160698</v>
          </cell>
          <cell r="AK554" t="str">
            <v>FZ with SLR</v>
          </cell>
        </row>
        <row r="555">
          <cell r="Y555" t="str">
            <v>Single Family Detached</v>
          </cell>
          <cell r="AG555">
            <v>0</v>
          </cell>
          <cell r="AH555">
            <v>10</v>
          </cell>
          <cell r="AJ555">
            <v>0.12375490663980716</v>
          </cell>
          <cell r="AK555" t="str">
            <v>FZ with SLR</v>
          </cell>
        </row>
        <row r="556">
          <cell r="Y556" t="str">
            <v>Single Family Detached</v>
          </cell>
          <cell r="AG556">
            <v>0</v>
          </cell>
          <cell r="AH556">
            <v>10</v>
          </cell>
          <cell r="AJ556">
            <v>0.12951465974678605</v>
          </cell>
          <cell r="AK556" t="str">
            <v>FZ with SLR</v>
          </cell>
        </row>
        <row r="557">
          <cell r="Y557" t="str">
            <v>Single Family Detached</v>
          </cell>
          <cell r="AG557">
            <v>0</v>
          </cell>
          <cell r="AH557">
            <v>10</v>
          </cell>
          <cell r="AJ557">
            <v>0.1395637462325528</v>
          </cell>
          <cell r="AK557" t="str">
            <v>FZ with SLR</v>
          </cell>
        </row>
        <row r="558">
          <cell r="Y558" t="str">
            <v>Single Family Detached</v>
          </cell>
          <cell r="AG558">
            <v>0</v>
          </cell>
          <cell r="AH558">
            <v>10</v>
          </cell>
          <cell r="AJ558">
            <v>0.12297643363567494</v>
          </cell>
          <cell r="AK558" t="str">
            <v>FZ with SLR</v>
          </cell>
        </row>
        <row r="559">
          <cell r="Y559" t="str">
            <v>Single Family Detached</v>
          </cell>
          <cell r="AG559">
            <v>0</v>
          </cell>
          <cell r="AH559">
            <v>10</v>
          </cell>
          <cell r="AJ559">
            <v>0.13236609979292929</v>
          </cell>
          <cell r="AK559" t="str">
            <v>FZ with SLR</v>
          </cell>
        </row>
        <row r="560">
          <cell r="Y560" t="str">
            <v>Single Family Detached</v>
          </cell>
          <cell r="AG560">
            <v>0</v>
          </cell>
          <cell r="AH560">
            <v>10</v>
          </cell>
          <cell r="AJ560">
            <v>0.12066013927180899</v>
          </cell>
          <cell r="AK560" t="str">
            <v>FZ with SLR</v>
          </cell>
        </row>
        <row r="561">
          <cell r="Y561" t="str">
            <v>Single Family Detached</v>
          </cell>
          <cell r="AG561">
            <v>0</v>
          </cell>
          <cell r="AH561">
            <v>10</v>
          </cell>
          <cell r="AJ561">
            <v>0.12178011079522498</v>
          </cell>
          <cell r="AK561" t="str">
            <v>FZ with SLR</v>
          </cell>
        </row>
        <row r="562">
          <cell r="Y562" t="str">
            <v>Single Family Detached</v>
          </cell>
          <cell r="AG562">
            <v>0</v>
          </cell>
          <cell r="AH562">
            <v>10</v>
          </cell>
          <cell r="AJ562">
            <v>0.13137682926285585</v>
          </cell>
          <cell r="AK562" t="str">
            <v>FZ with SLR</v>
          </cell>
        </row>
        <row r="563">
          <cell r="Y563" t="str">
            <v>Single Family Detached</v>
          </cell>
          <cell r="AG563">
            <v>0</v>
          </cell>
          <cell r="AH563">
            <v>10</v>
          </cell>
          <cell r="AJ563">
            <v>0.12947493562052342</v>
          </cell>
          <cell r="AK563" t="str">
            <v>FZ with SLR</v>
          </cell>
        </row>
        <row r="564">
          <cell r="Y564" t="str">
            <v>Single Family Detached</v>
          </cell>
          <cell r="AG564">
            <v>0</v>
          </cell>
          <cell r="AH564">
            <v>10</v>
          </cell>
          <cell r="AJ564">
            <v>0.12834699664898991</v>
          </cell>
          <cell r="AK564" t="str">
            <v>FZ with SLR</v>
          </cell>
        </row>
        <row r="565">
          <cell r="Y565" t="str">
            <v>Single Family Detached</v>
          </cell>
          <cell r="AG565">
            <v>0</v>
          </cell>
          <cell r="AH565">
            <v>10</v>
          </cell>
          <cell r="AJ565">
            <v>0.12743360866942149</v>
          </cell>
          <cell r="AK565" t="str">
            <v>FZ with SLR</v>
          </cell>
        </row>
        <row r="566">
          <cell r="Y566" t="str">
            <v>Single Family Detached</v>
          </cell>
          <cell r="AG566">
            <v>0</v>
          </cell>
          <cell r="AH566">
            <v>10</v>
          </cell>
          <cell r="AJ566">
            <v>0.12927388680785126</v>
          </cell>
          <cell r="AK566" t="str">
            <v>FZ with SLR</v>
          </cell>
        </row>
        <row r="567">
          <cell r="Y567" t="str">
            <v>Single Family Detached</v>
          </cell>
          <cell r="AG567">
            <v>0</v>
          </cell>
          <cell r="AH567">
            <v>10</v>
          </cell>
          <cell r="AJ567">
            <v>0.12786948427685951</v>
          </cell>
          <cell r="AK567" t="str">
            <v>FZ with SLR</v>
          </cell>
        </row>
        <row r="568">
          <cell r="Y568" t="str">
            <v>Single Family Detached</v>
          </cell>
          <cell r="AG568">
            <v>0</v>
          </cell>
          <cell r="AH568">
            <v>10</v>
          </cell>
          <cell r="AJ568">
            <v>0.12700851234297519</v>
          </cell>
          <cell r="AK568" t="str">
            <v>FZ with SLR</v>
          </cell>
        </row>
        <row r="569">
          <cell r="Y569" t="str">
            <v>Single Family Detached</v>
          </cell>
          <cell r="AG569">
            <v>0</v>
          </cell>
          <cell r="AH569">
            <v>10</v>
          </cell>
          <cell r="AJ569">
            <v>0.12521855154637282</v>
          </cell>
          <cell r="AK569" t="str">
            <v>FZ with SLR</v>
          </cell>
        </row>
        <row r="570">
          <cell r="Y570" t="str">
            <v>Single Family Detached</v>
          </cell>
          <cell r="AG570">
            <v>0</v>
          </cell>
          <cell r="AH570">
            <v>10</v>
          </cell>
          <cell r="AJ570">
            <v>0.12338755832024792</v>
          </cell>
          <cell r="AK570" t="str">
            <v>FZ with SLR</v>
          </cell>
        </row>
        <row r="571">
          <cell r="Y571" t="str">
            <v>Single Family Detached</v>
          </cell>
          <cell r="AG571">
            <v>0</v>
          </cell>
          <cell r="AH571">
            <v>10</v>
          </cell>
          <cell r="AJ571">
            <v>0.12657452707369146</v>
          </cell>
          <cell r="AK571" t="str">
            <v>FZ with SLR</v>
          </cell>
        </row>
        <row r="572">
          <cell r="Y572" t="str">
            <v>Single Family Detached</v>
          </cell>
          <cell r="AG572">
            <v>0</v>
          </cell>
          <cell r="AH572">
            <v>10</v>
          </cell>
          <cell r="AJ572">
            <v>0.12447150532782371</v>
          </cell>
          <cell r="AK572" t="str">
            <v>FZ with SLR</v>
          </cell>
        </row>
        <row r="573">
          <cell r="Y573" t="str">
            <v>Single Family Detached</v>
          </cell>
          <cell r="AG573">
            <v>0</v>
          </cell>
          <cell r="AH573">
            <v>10</v>
          </cell>
          <cell r="AJ573">
            <v>0.12599250351790633</v>
          </cell>
          <cell r="AK573" t="str">
            <v>FZ with SLR</v>
          </cell>
        </row>
        <row r="574">
          <cell r="Y574" t="str">
            <v>Single Family Detached</v>
          </cell>
          <cell r="AG574">
            <v>0</v>
          </cell>
          <cell r="AH574">
            <v>10</v>
          </cell>
          <cell r="AJ574">
            <v>0.12949551520224978</v>
          </cell>
          <cell r="AK574" t="str">
            <v>FZ with SLR</v>
          </cell>
        </row>
        <row r="575">
          <cell r="Y575" t="str">
            <v>Single Family Detached</v>
          </cell>
          <cell r="AG575">
            <v>0</v>
          </cell>
          <cell r="AH575">
            <v>10</v>
          </cell>
          <cell r="AJ575">
            <v>0.27582965091138661</v>
          </cell>
          <cell r="AK575" t="str">
            <v>FZ with SLR</v>
          </cell>
        </row>
        <row r="576">
          <cell r="Y576" t="str">
            <v>Single Family Detached</v>
          </cell>
          <cell r="AG576">
            <v>0</v>
          </cell>
          <cell r="AH576">
            <v>10</v>
          </cell>
          <cell r="AJ576">
            <v>2.5921859343893483</v>
          </cell>
          <cell r="AK576" t="str">
            <v>FZ with SLR</v>
          </cell>
        </row>
        <row r="577">
          <cell r="Y577" t="str">
            <v>Single Family Vacant</v>
          </cell>
          <cell r="AG577">
            <v>0</v>
          </cell>
          <cell r="AH577">
            <v>10</v>
          </cell>
          <cell r="AJ577">
            <v>0.32182186016069786</v>
          </cell>
          <cell r="AK577" t="str">
            <v>FZ with SLR</v>
          </cell>
        </row>
        <row r="578">
          <cell r="Y578" t="str">
            <v>Single Family Detached</v>
          </cell>
          <cell r="AG578">
            <v>0</v>
          </cell>
          <cell r="AH578">
            <v>10</v>
          </cell>
          <cell r="AJ578">
            <v>0.24602241165289254</v>
          </cell>
          <cell r="AK578" t="str">
            <v>FZ with SLR</v>
          </cell>
        </row>
        <row r="579">
          <cell r="Y579" t="str">
            <v>Single Family Detached</v>
          </cell>
          <cell r="AG579">
            <v>10</v>
          </cell>
          <cell r="AH579">
            <v>6</v>
          </cell>
          <cell r="AJ579">
            <v>0.16746770371556474</v>
          </cell>
          <cell r="AK579" t="str">
            <v>SLR Adjacent</v>
          </cell>
        </row>
        <row r="580">
          <cell r="Y580" t="str">
            <v>Single Family Detached</v>
          </cell>
          <cell r="AG580">
            <v>10</v>
          </cell>
          <cell r="AH580">
            <v>6</v>
          </cell>
          <cell r="AJ580">
            <v>0.14049443744100093</v>
          </cell>
          <cell r="AK580" t="str">
            <v>SLR Adjacent</v>
          </cell>
        </row>
        <row r="581">
          <cell r="Y581" t="str">
            <v>Single Family Detached</v>
          </cell>
          <cell r="AG581">
            <v>10</v>
          </cell>
          <cell r="AH581">
            <v>6</v>
          </cell>
          <cell r="AJ581">
            <v>0.14054183199793388</v>
          </cell>
          <cell r="AK581" t="str">
            <v>SLR Adjacent</v>
          </cell>
        </row>
        <row r="582">
          <cell r="Y582" t="str">
            <v>Single Family Detached</v>
          </cell>
          <cell r="AG582">
            <v>10</v>
          </cell>
          <cell r="AH582">
            <v>6</v>
          </cell>
          <cell r="AJ582">
            <v>0.13830511108769514</v>
          </cell>
          <cell r="AK582" t="str">
            <v>SLR Adjacent</v>
          </cell>
        </row>
        <row r="583">
          <cell r="Y583" t="str">
            <v>Single Family Detached</v>
          </cell>
          <cell r="AG583">
            <v>10</v>
          </cell>
          <cell r="AH583">
            <v>6</v>
          </cell>
          <cell r="AJ583">
            <v>0.13124434859274564</v>
          </cell>
          <cell r="AK583" t="str">
            <v>SLR Adjacent</v>
          </cell>
        </row>
        <row r="584">
          <cell r="Y584" t="str">
            <v>Single Family Detached</v>
          </cell>
          <cell r="AG584">
            <v>10</v>
          </cell>
          <cell r="AH584">
            <v>6</v>
          </cell>
          <cell r="AJ584">
            <v>0.11179834955211204</v>
          </cell>
          <cell r="AK584" t="str">
            <v>SLR Adjacent</v>
          </cell>
        </row>
        <row r="585">
          <cell r="Y585" t="str">
            <v>Single Family Detached</v>
          </cell>
          <cell r="AG585">
            <v>10</v>
          </cell>
          <cell r="AH585">
            <v>6</v>
          </cell>
          <cell r="AJ585">
            <v>0.11824897702203856</v>
          </cell>
          <cell r="AK585" t="str">
            <v>SLR Adjacent</v>
          </cell>
        </row>
        <row r="586">
          <cell r="Y586" t="str">
            <v>Single Family Vacant</v>
          </cell>
          <cell r="AG586">
            <v>10</v>
          </cell>
          <cell r="AH586">
            <v>6</v>
          </cell>
          <cell r="AJ586">
            <v>0.18014378168365472</v>
          </cell>
          <cell r="AK586" t="str">
            <v>SLR Adjacent</v>
          </cell>
        </row>
        <row r="587">
          <cell r="Y587" t="str">
            <v>Single Family Detached</v>
          </cell>
          <cell r="AG587">
            <v>10</v>
          </cell>
          <cell r="AH587">
            <v>6</v>
          </cell>
          <cell r="AJ587">
            <v>0.15212621240794305</v>
          </cell>
          <cell r="AK587" t="str">
            <v>SLR Adjacent</v>
          </cell>
        </row>
        <row r="588">
          <cell r="Y588" t="str">
            <v>Single Family Detached</v>
          </cell>
          <cell r="AG588">
            <v>10</v>
          </cell>
          <cell r="AH588">
            <v>6</v>
          </cell>
          <cell r="AJ588">
            <v>0.11692156261317724</v>
          </cell>
          <cell r="AK588" t="str">
            <v>SLR Adjacent</v>
          </cell>
        </row>
        <row r="589">
          <cell r="Y589" t="str">
            <v>Single Family Detached</v>
          </cell>
          <cell r="AG589">
            <v>10</v>
          </cell>
          <cell r="AH589">
            <v>6</v>
          </cell>
          <cell r="AJ589">
            <v>0.11341269533654728</v>
          </cell>
          <cell r="AK589" t="str">
            <v>SLR Adjacent</v>
          </cell>
        </row>
        <row r="590">
          <cell r="Y590" t="str">
            <v>Single Family Detached</v>
          </cell>
          <cell r="AG590">
            <v>10</v>
          </cell>
          <cell r="AH590">
            <v>6</v>
          </cell>
          <cell r="AJ590">
            <v>0.11674586109481176</v>
          </cell>
          <cell r="AK590" t="str">
            <v>SLR Adjacent</v>
          </cell>
        </row>
        <row r="591">
          <cell r="Y591" t="str">
            <v>Single Family Detached</v>
          </cell>
          <cell r="AG591">
            <v>10</v>
          </cell>
          <cell r="AH591">
            <v>6</v>
          </cell>
          <cell r="AJ591">
            <v>0.11167534136179982</v>
          </cell>
          <cell r="AK591" t="str">
            <v>SLR Adjacent</v>
          </cell>
        </row>
        <row r="592">
          <cell r="Y592" t="str">
            <v>Single Family Detached</v>
          </cell>
          <cell r="AG592">
            <v>10</v>
          </cell>
          <cell r="AH592">
            <v>6</v>
          </cell>
          <cell r="AJ592">
            <v>0.12351884588682277</v>
          </cell>
          <cell r="AK592" t="str">
            <v>SLR Adjacent</v>
          </cell>
        </row>
        <row r="593">
          <cell r="Y593" t="str">
            <v>Single Family Vacant</v>
          </cell>
          <cell r="AG593">
            <v>10</v>
          </cell>
          <cell r="AH593">
            <v>6</v>
          </cell>
          <cell r="AJ593">
            <v>0.11263031715679524</v>
          </cell>
          <cell r="AK593" t="str">
            <v>SLR Adjacent</v>
          </cell>
        </row>
        <row r="594">
          <cell r="Y594" t="str">
            <v>Single Family Detached</v>
          </cell>
          <cell r="AG594">
            <v>10</v>
          </cell>
          <cell r="AH594">
            <v>6</v>
          </cell>
          <cell r="AJ594">
            <v>0.11442306057208447</v>
          </cell>
          <cell r="AK594" t="str">
            <v>SLR Adjacent</v>
          </cell>
        </row>
        <row r="595">
          <cell r="Y595" t="str">
            <v>Single Family Vacant</v>
          </cell>
          <cell r="AG595">
            <v>10</v>
          </cell>
          <cell r="AH595">
            <v>6</v>
          </cell>
          <cell r="AJ595">
            <v>0.11254048554591368</v>
          </cell>
          <cell r="AK595" t="str">
            <v>SLR Adjacent</v>
          </cell>
        </row>
        <row r="596">
          <cell r="Y596" t="str">
            <v>Single Family Detached</v>
          </cell>
          <cell r="AG596">
            <v>10</v>
          </cell>
          <cell r="AH596">
            <v>6</v>
          </cell>
          <cell r="AJ596">
            <v>0.11528656144444444</v>
          </cell>
          <cell r="AK596" t="str">
            <v>SLR Adjacent</v>
          </cell>
        </row>
        <row r="597">
          <cell r="Y597" t="str">
            <v>Single Family Detached</v>
          </cell>
          <cell r="AG597">
            <v>10</v>
          </cell>
          <cell r="AH597">
            <v>6</v>
          </cell>
          <cell r="AJ597">
            <v>0.11580658655027548</v>
          </cell>
          <cell r="AK597" t="str">
            <v>SLR Adjacent</v>
          </cell>
        </row>
        <row r="598">
          <cell r="Y598" t="str">
            <v>Single Family Detached</v>
          </cell>
          <cell r="AG598">
            <v>10</v>
          </cell>
          <cell r="AH598">
            <v>6</v>
          </cell>
          <cell r="AJ598">
            <v>0.11611413791000917</v>
          </cell>
          <cell r="AK598" t="str">
            <v>SLR Adjacent</v>
          </cell>
        </row>
        <row r="599">
          <cell r="Y599" t="str">
            <v>Single Family Detached</v>
          </cell>
          <cell r="AG599">
            <v>10</v>
          </cell>
          <cell r="AH599">
            <v>6</v>
          </cell>
          <cell r="AJ599">
            <v>0.11430628994214877</v>
          </cell>
          <cell r="AK599" t="str">
            <v>SLR Adjacent</v>
          </cell>
        </row>
        <row r="600">
          <cell r="Y600" t="str">
            <v>Single Family Detached</v>
          </cell>
          <cell r="AG600">
            <v>10</v>
          </cell>
          <cell r="AH600">
            <v>6</v>
          </cell>
          <cell r="AJ600">
            <v>0.11552620016597796</v>
          </cell>
          <cell r="AK600" t="str">
            <v>SLR Adjacent</v>
          </cell>
        </row>
        <row r="601">
          <cell r="Y601" t="str">
            <v>Single Family Detached</v>
          </cell>
          <cell r="AG601">
            <v>10</v>
          </cell>
          <cell r="AH601">
            <v>6</v>
          </cell>
          <cell r="AJ601">
            <v>0.11940162441643709</v>
          </cell>
          <cell r="AK601" t="str">
            <v>SLR Adjacent</v>
          </cell>
        </row>
        <row r="602">
          <cell r="Y602" t="str">
            <v>Single Family Detached</v>
          </cell>
          <cell r="AG602">
            <v>10</v>
          </cell>
          <cell r="AH602">
            <v>6</v>
          </cell>
          <cell r="AJ602">
            <v>0.11640231160812672</v>
          </cell>
          <cell r="AK602" t="str">
            <v>SLR Adjacent</v>
          </cell>
        </row>
        <row r="603">
          <cell r="Y603" t="str">
            <v>Single Family Vacant</v>
          </cell>
          <cell r="AG603">
            <v>10</v>
          </cell>
          <cell r="AH603">
            <v>6</v>
          </cell>
          <cell r="AJ603">
            <v>0.11632772191896236</v>
          </cell>
          <cell r="AK603" t="str">
            <v>SLR Adjacent</v>
          </cell>
        </row>
        <row r="604">
          <cell r="Y604" t="str">
            <v>Single Family Detached</v>
          </cell>
          <cell r="AG604">
            <v>10</v>
          </cell>
          <cell r="AH604">
            <v>6</v>
          </cell>
          <cell r="AJ604">
            <v>0.11336054659205694</v>
          </cell>
          <cell r="AK604" t="str">
            <v>SLR Adjacent</v>
          </cell>
        </row>
        <row r="605">
          <cell r="Y605" t="str">
            <v>Single Family Detached</v>
          </cell>
          <cell r="AG605">
            <v>10</v>
          </cell>
          <cell r="AH605">
            <v>6</v>
          </cell>
          <cell r="AJ605">
            <v>0.11520053081910009</v>
          </cell>
          <cell r="AK605" t="str">
            <v>SLR Adjacent</v>
          </cell>
        </row>
        <row r="606">
          <cell r="Y606" t="str">
            <v>Single Family Vacant</v>
          </cell>
          <cell r="AG606">
            <v>10</v>
          </cell>
          <cell r="AH606">
            <v>6</v>
          </cell>
          <cell r="AJ606">
            <v>0.10996384249494949</v>
          </cell>
          <cell r="AK606" t="str">
            <v>SLR Adjacent</v>
          </cell>
        </row>
        <row r="607">
          <cell r="Y607" t="str">
            <v>Single Family Vacant</v>
          </cell>
          <cell r="AG607">
            <v>10</v>
          </cell>
          <cell r="AH607">
            <v>6</v>
          </cell>
          <cell r="AJ607">
            <v>0.11483730508907253</v>
          </cell>
          <cell r="AK607" t="str">
            <v>SLR Adjacent</v>
          </cell>
        </row>
        <row r="608">
          <cell r="Y608" t="str">
            <v>Single Family Detached</v>
          </cell>
          <cell r="AG608">
            <v>10</v>
          </cell>
          <cell r="AH608">
            <v>6</v>
          </cell>
          <cell r="AJ608">
            <v>0.1114598103147383</v>
          </cell>
          <cell r="AK608" t="str">
            <v>SLR Adjacent</v>
          </cell>
        </row>
        <row r="609">
          <cell r="Y609" t="str">
            <v>Single Family Detached</v>
          </cell>
          <cell r="AG609">
            <v>10</v>
          </cell>
          <cell r="AH609">
            <v>6</v>
          </cell>
          <cell r="AJ609">
            <v>0.11548241489416895</v>
          </cell>
          <cell r="AK609" t="str">
            <v>SLR Adjacent</v>
          </cell>
        </row>
        <row r="610">
          <cell r="Y610" t="str">
            <v>Single Family Vacant</v>
          </cell>
          <cell r="AG610">
            <v>10</v>
          </cell>
          <cell r="AH610">
            <v>6</v>
          </cell>
          <cell r="AJ610">
            <v>0.11216195743663912</v>
          </cell>
          <cell r="AK610" t="str">
            <v>SLR Adjacent</v>
          </cell>
        </row>
        <row r="611">
          <cell r="Y611" t="str">
            <v>Single Family Detached</v>
          </cell>
          <cell r="AG611">
            <v>10</v>
          </cell>
          <cell r="AH611">
            <v>6</v>
          </cell>
          <cell r="AJ611">
            <v>0.11473935468732782</v>
          </cell>
          <cell r="AK611" t="str">
            <v>SLR Adjacent</v>
          </cell>
        </row>
        <row r="612">
          <cell r="Y612" t="str">
            <v>Single Family Detached</v>
          </cell>
          <cell r="AG612">
            <v>10</v>
          </cell>
          <cell r="AH612">
            <v>6</v>
          </cell>
          <cell r="AJ612">
            <v>0.11463520084986226</v>
          </cell>
          <cell r="AK612" t="str">
            <v>SLR Adjacent</v>
          </cell>
        </row>
        <row r="613">
          <cell r="Y613" t="str">
            <v>Single Family Detached</v>
          </cell>
          <cell r="AG613">
            <v>10</v>
          </cell>
          <cell r="AH613">
            <v>6</v>
          </cell>
          <cell r="AJ613">
            <v>0.1308731070284665</v>
          </cell>
          <cell r="AK613" t="str">
            <v>SLR Adjacent</v>
          </cell>
        </row>
        <row r="614">
          <cell r="Y614" t="str">
            <v>Single Family Detached</v>
          </cell>
          <cell r="AG614">
            <v>10</v>
          </cell>
          <cell r="AH614">
            <v>6</v>
          </cell>
          <cell r="AJ614">
            <v>0.11636352083677687</v>
          </cell>
          <cell r="AK614" t="str">
            <v>SLR Adjacent</v>
          </cell>
        </row>
        <row r="615">
          <cell r="Y615" t="str">
            <v>Single Family Detached</v>
          </cell>
          <cell r="AG615">
            <v>10</v>
          </cell>
          <cell r="AH615">
            <v>6</v>
          </cell>
          <cell r="AJ615">
            <v>0.11909061987190081</v>
          </cell>
          <cell r="AK615" t="str">
            <v>SLR Adjacent</v>
          </cell>
        </row>
        <row r="616">
          <cell r="Y616" t="str">
            <v>Single Family Detached</v>
          </cell>
          <cell r="AG616">
            <v>10</v>
          </cell>
          <cell r="AH616">
            <v>6</v>
          </cell>
          <cell r="AJ616">
            <v>0.12150825164325069</v>
          </cell>
          <cell r="AK616" t="str">
            <v>SLR Adjacent</v>
          </cell>
        </row>
        <row r="617">
          <cell r="Y617" t="str">
            <v>Single Family Detached</v>
          </cell>
          <cell r="AG617">
            <v>10</v>
          </cell>
          <cell r="AH617">
            <v>6</v>
          </cell>
          <cell r="AJ617">
            <v>0.11610226176377411</v>
          </cell>
          <cell r="AK617" t="str">
            <v>SLR Adjacent</v>
          </cell>
        </row>
        <row r="618">
          <cell r="Y618" t="str">
            <v>Single Family Detached</v>
          </cell>
          <cell r="AG618">
            <v>10</v>
          </cell>
          <cell r="AH618">
            <v>6</v>
          </cell>
          <cell r="AJ618">
            <v>0.11541568988521579</v>
          </cell>
          <cell r="AK618" t="str">
            <v>SLR Adjacent</v>
          </cell>
        </row>
        <row r="619">
          <cell r="Y619" t="str">
            <v>Single Family Detached</v>
          </cell>
          <cell r="AG619">
            <v>10</v>
          </cell>
          <cell r="AH619">
            <v>6</v>
          </cell>
          <cell r="AJ619">
            <v>0.11224467208953168</v>
          </cell>
          <cell r="AK619" t="str">
            <v>SLR Adjacent</v>
          </cell>
        </row>
        <row r="620">
          <cell r="Y620" t="str">
            <v>Single Family Detached</v>
          </cell>
          <cell r="AG620">
            <v>10</v>
          </cell>
          <cell r="AH620">
            <v>6</v>
          </cell>
          <cell r="AJ620">
            <v>0.11562131555325987</v>
          </cell>
          <cell r="AK620" t="str">
            <v>SLR Adjacent</v>
          </cell>
        </row>
        <row r="621">
          <cell r="Y621" t="str">
            <v>Single Family Detached</v>
          </cell>
          <cell r="AG621">
            <v>10</v>
          </cell>
          <cell r="AH621">
            <v>6</v>
          </cell>
          <cell r="AJ621">
            <v>0.11613847095202019</v>
          </cell>
          <cell r="AK621" t="str">
            <v>SLR Adjacent</v>
          </cell>
        </row>
        <row r="622">
          <cell r="Y622" t="str">
            <v>Single Family Detached</v>
          </cell>
          <cell r="AG622">
            <v>10</v>
          </cell>
          <cell r="AH622">
            <v>6</v>
          </cell>
          <cell r="AJ622">
            <v>0.11422794134481175</v>
          </cell>
          <cell r="AK622" t="str">
            <v>SLR Adjacent</v>
          </cell>
        </row>
        <row r="623">
          <cell r="Y623" t="str">
            <v>Single Family Vacant</v>
          </cell>
          <cell r="AG623">
            <v>10</v>
          </cell>
          <cell r="AH623">
            <v>6</v>
          </cell>
          <cell r="AJ623">
            <v>0.10142186398668503</v>
          </cell>
          <cell r="AK623" t="str">
            <v>SLR Adjacent</v>
          </cell>
        </row>
        <row r="624">
          <cell r="Y624" t="str">
            <v>Single Family Detached</v>
          </cell>
          <cell r="AG624">
            <v>10</v>
          </cell>
          <cell r="AH624">
            <v>6</v>
          </cell>
          <cell r="AJ624">
            <v>8.509956929545455E-2</v>
          </cell>
          <cell r="AK624" t="str">
            <v>SLR Adjacent</v>
          </cell>
        </row>
        <row r="625">
          <cell r="Y625" t="str">
            <v>Single Family Vacant</v>
          </cell>
          <cell r="AG625">
            <v>10</v>
          </cell>
          <cell r="AH625">
            <v>6</v>
          </cell>
          <cell r="AJ625">
            <v>9.8530101938016534E-2</v>
          </cell>
          <cell r="AK625" t="str">
            <v>SLR Adjacent</v>
          </cell>
        </row>
        <row r="626">
          <cell r="Y626" t="str">
            <v>Single Family Vacant</v>
          </cell>
          <cell r="AG626">
            <v>10</v>
          </cell>
          <cell r="AH626">
            <v>6</v>
          </cell>
          <cell r="AJ626">
            <v>9.6751330896464649E-2</v>
          </cell>
          <cell r="AK626" t="str">
            <v>SLR Adjacent</v>
          </cell>
        </row>
        <row r="627">
          <cell r="Y627" t="str">
            <v>Single Family Vacant</v>
          </cell>
          <cell r="AG627">
            <v>10</v>
          </cell>
          <cell r="AH627">
            <v>6</v>
          </cell>
          <cell r="AJ627">
            <v>9.0317464179292928E-2</v>
          </cell>
          <cell r="AK627" t="str">
            <v>SLR Adjacent</v>
          </cell>
        </row>
        <row r="628">
          <cell r="Y628" t="str">
            <v>Single Family Vacant</v>
          </cell>
          <cell r="AG628">
            <v>10</v>
          </cell>
          <cell r="AH628">
            <v>6</v>
          </cell>
          <cell r="AJ628">
            <v>9.2091947885215797E-2</v>
          </cell>
          <cell r="AK628" t="str">
            <v>SLR Adjacent</v>
          </cell>
        </row>
        <row r="629">
          <cell r="Y629" t="str">
            <v>Single Family Vacant</v>
          </cell>
          <cell r="AG629">
            <v>10</v>
          </cell>
          <cell r="AH629">
            <v>6</v>
          </cell>
          <cell r="AJ629">
            <v>8.8030629796143248E-2</v>
          </cell>
          <cell r="AK629" t="str">
            <v>SLR Adjacent</v>
          </cell>
        </row>
        <row r="630">
          <cell r="Y630" t="str">
            <v>Single Family Detached</v>
          </cell>
          <cell r="AG630">
            <v>10</v>
          </cell>
          <cell r="AH630">
            <v>6</v>
          </cell>
          <cell r="AJ630">
            <v>9.0036258171717176E-2</v>
          </cell>
          <cell r="AK630" t="str">
            <v>SLR Adjacent</v>
          </cell>
        </row>
        <row r="631">
          <cell r="Y631" t="str">
            <v>Single Family Detached</v>
          </cell>
          <cell r="AG631">
            <v>10</v>
          </cell>
          <cell r="AH631">
            <v>6</v>
          </cell>
          <cell r="AJ631">
            <v>9.0037754520431584E-2</v>
          </cell>
          <cell r="AK631" t="str">
            <v>SLR Adjacent</v>
          </cell>
        </row>
        <row r="632">
          <cell r="Y632" t="str">
            <v>Single Family Vacant</v>
          </cell>
          <cell r="AG632">
            <v>10</v>
          </cell>
          <cell r="AH632">
            <v>6</v>
          </cell>
          <cell r="AJ632">
            <v>9.0039310752295695E-2</v>
          </cell>
          <cell r="AK632" t="str">
            <v>SLR Adjacent</v>
          </cell>
        </row>
        <row r="633">
          <cell r="Y633" t="str">
            <v>Single Family Detached</v>
          </cell>
          <cell r="AG633">
            <v>10</v>
          </cell>
          <cell r="AH633">
            <v>6</v>
          </cell>
          <cell r="AJ633">
            <v>9.2629879559228662E-2</v>
          </cell>
          <cell r="AK633" t="str">
            <v>SLR Adjacent</v>
          </cell>
        </row>
        <row r="634">
          <cell r="Y634" t="str">
            <v>Single Family Detached</v>
          </cell>
          <cell r="AG634">
            <v>10</v>
          </cell>
          <cell r="AH634">
            <v>6</v>
          </cell>
          <cell r="AJ634">
            <v>9.4000292188016532E-2</v>
          </cell>
          <cell r="AK634" t="str">
            <v>SLR Adjacent</v>
          </cell>
        </row>
        <row r="635">
          <cell r="Y635" t="str">
            <v>Single Family Detached</v>
          </cell>
          <cell r="AG635">
            <v>10</v>
          </cell>
          <cell r="AH635">
            <v>6</v>
          </cell>
          <cell r="AJ635">
            <v>9.0036688983011939E-2</v>
          </cell>
          <cell r="AK635" t="str">
            <v>SLR Adjacent</v>
          </cell>
        </row>
        <row r="636">
          <cell r="Y636" t="str">
            <v>Single Family Detached</v>
          </cell>
          <cell r="AG636">
            <v>10</v>
          </cell>
          <cell r="AH636">
            <v>6</v>
          </cell>
          <cell r="AJ636">
            <v>9.003628724908172E-2</v>
          </cell>
          <cell r="AK636" t="str">
            <v>SLR Adjacent</v>
          </cell>
        </row>
        <row r="637">
          <cell r="Y637" t="str">
            <v>Single Family Detached</v>
          </cell>
          <cell r="AG637">
            <v>10</v>
          </cell>
          <cell r="AH637">
            <v>6</v>
          </cell>
          <cell r="AJ637">
            <v>9.004056155348944E-2</v>
          </cell>
          <cell r="AK637" t="str">
            <v>SLR Adjacent</v>
          </cell>
        </row>
        <row r="638">
          <cell r="Y638" t="str">
            <v>Single Family Detached</v>
          </cell>
          <cell r="AG638">
            <v>10</v>
          </cell>
          <cell r="AH638">
            <v>6</v>
          </cell>
          <cell r="AJ638">
            <v>9.0034935058539947E-2</v>
          </cell>
          <cell r="AK638" t="str">
            <v>SLR Adjacent</v>
          </cell>
        </row>
        <row r="639">
          <cell r="Y639" t="str">
            <v>Single Family Detached</v>
          </cell>
          <cell r="AG639">
            <v>10</v>
          </cell>
          <cell r="AH639">
            <v>6</v>
          </cell>
          <cell r="AJ639">
            <v>9.1953336943296604E-2</v>
          </cell>
          <cell r="AK639" t="str">
            <v>SLR Adjacent</v>
          </cell>
        </row>
        <row r="640">
          <cell r="Y640" t="str">
            <v>Single Family Detached</v>
          </cell>
          <cell r="AG640">
            <v>10</v>
          </cell>
          <cell r="AH640">
            <v>6</v>
          </cell>
          <cell r="AJ640">
            <v>8.7125650250688705E-2</v>
          </cell>
          <cell r="AK640" t="str">
            <v>SLR Adjacent</v>
          </cell>
        </row>
        <row r="641">
          <cell r="Y641" t="str">
            <v>Single Family Detached</v>
          </cell>
          <cell r="AG641">
            <v>10</v>
          </cell>
          <cell r="AH641">
            <v>6</v>
          </cell>
          <cell r="AJ641">
            <v>7.8340999619146007E-2</v>
          </cell>
          <cell r="AK641" t="str">
            <v>SLR Adjacent</v>
          </cell>
        </row>
        <row r="642">
          <cell r="Y642" t="str">
            <v>Single Family Detached</v>
          </cell>
          <cell r="AG642">
            <v>10</v>
          </cell>
          <cell r="AH642">
            <v>6</v>
          </cell>
          <cell r="AJ642">
            <v>0.11786427424632691</v>
          </cell>
          <cell r="AK642" t="str">
            <v>SLR Adjacent</v>
          </cell>
        </row>
        <row r="643">
          <cell r="Y643" t="str">
            <v>Single Family Detached</v>
          </cell>
          <cell r="AG643">
            <v>10</v>
          </cell>
          <cell r="AH643">
            <v>6</v>
          </cell>
          <cell r="AJ643">
            <v>8.9350044832415057E-2</v>
          </cell>
          <cell r="AK643" t="str">
            <v>SLR Adjacent</v>
          </cell>
        </row>
        <row r="644">
          <cell r="Y644" t="str">
            <v>Single Family Detached</v>
          </cell>
          <cell r="AG644">
            <v>10</v>
          </cell>
          <cell r="AH644">
            <v>6</v>
          </cell>
          <cell r="AJ644">
            <v>8.8081553687327827E-2</v>
          </cell>
          <cell r="AK644" t="str">
            <v>SLR Adjacent</v>
          </cell>
        </row>
        <row r="645">
          <cell r="Y645" t="str">
            <v>Single Family Detached</v>
          </cell>
          <cell r="AG645">
            <v>10</v>
          </cell>
          <cell r="AH645">
            <v>6</v>
          </cell>
          <cell r="AJ645">
            <v>8.4924853221074376E-2</v>
          </cell>
          <cell r="AK645" t="str">
            <v>SLR Adjacent</v>
          </cell>
        </row>
        <row r="646">
          <cell r="Y646" t="str">
            <v>Single Family Detached</v>
          </cell>
          <cell r="AG646">
            <v>10</v>
          </cell>
          <cell r="AH646">
            <v>6</v>
          </cell>
          <cell r="AJ646">
            <v>8.4789922345270899E-2</v>
          </cell>
          <cell r="AK646" t="str">
            <v>SLR Adjacent</v>
          </cell>
        </row>
        <row r="647">
          <cell r="Y647" t="str">
            <v>Single Family Detached</v>
          </cell>
          <cell r="AG647">
            <v>10</v>
          </cell>
          <cell r="AH647">
            <v>6</v>
          </cell>
          <cell r="AJ647">
            <v>8.5844827775022947E-2</v>
          </cell>
          <cell r="AK647" t="str">
            <v>SLR Adjacent</v>
          </cell>
        </row>
        <row r="648">
          <cell r="Y648" t="str">
            <v>Single Family Detached</v>
          </cell>
          <cell r="AG648">
            <v>10</v>
          </cell>
          <cell r="AH648">
            <v>6</v>
          </cell>
          <cell r="AJ648">
            <v>8.0872050340220394E-2</v>
          </cell>
          <cell r="AK648" t="str">
            <v>SLR Adjacent</v>
          </cell>
        </row>
        <row r="649">
          <cell r="Y649" t="str">
            <v>Single Family Detached</v>
          </cell>
          <cell r="AG649">
            <v>10</v>
          </cell>
          <cell r="AH649">
            <v>6</v>
          </cell>
          <cell r="AJ649">
            <v>7.9237790785123968E-2</v>
          </cell>
          <cell r="AK649" t="str">
            <v>SLR Adjacent</v>
          </cell>
        </row>
        <row r="650">
          <cell r="Y650" t="str">
            <v>Single Family Detached</v>
          </cell>
          <cell r="AG650">
            <v>10</v>
          </cell>
          <cell r="AH650">
            <v>6</v>
          </cell>
          <cell r="AJ650">
            <v>7.842371427984389E-2</v>
          </cell>
          <cell r="AK650" t="str">
            <v>SLR Adjacent</v>
          </cell>
        </row>
        <row r="651">
          <cell r="Y651" t="str">
            <v>Single Family Detached</v>
          </cell>
          <cell r="AG651">
            <v>10</v>
          </cell>
          <cell r="AH651">
            <v>6</v>
          </cell>
          <cell r="AJ651">
            <v>7.8412818072773185E-2</v>
          </cell>
          <cell r="AK651" t="str">
            <v>SLR Adjacent</v>
          </cell>
        </row>
        <row r="652">
          <cell r="Y652" t="str">
            <v>Single Family Detached</v>
          </cell>
          <cell r="AG652">
            <v>10</v>
          </cell>
          <cell r="AH652">
            <v>6</v>
          </cell>
          <cell r="AJ652">
            <v>7.8392556410468314E-2</v>
          </cell>
          <cell r="AK652" t="str">
            <v>SLR Adjacent</v>
          </cell>
        </row>
        <row r="653">
          <cell r="Y653" t="str">
            <v>Single Family Detached</v>
          </cell>
          <cell r="AG653">
            <v>10</v>
          </cell>
          <cell r="AH653">
            <v>6</v>
          </cell>
          <cell r="AJ653">
            <v>7.837607249793388E-2</v>
          </cell>
          <cell r="AK653" t="str">
            <v>SLR Adjacent</v>
          </cell>
        </row>
        <row r="654">
          <cell r="Y654" t="str">
            <v>Single Family Detached</v>
          </cell>
          <cell r="AG654">
            <v>10</v>
          </cell>
          <cell r="AH654">
            <v>6</v>
          </cell>
          <cell r="AJ654">
            <v>6.9100286609963271E-2</v>
          </cell>
          <cell r="AK654" t="str">
            <v>SLR Adjacent</v>
          </cell>
        </row>
        <row r="655">
          <cell r="Y655" t="str">
            <v>Single Family Detached</v>
          </cell>
          <cell r="AG655">
            <v>10</v>
          </cell>
          <cell r="AH655">
            <v>6</v>
          </cell>
          <cell r="AJ655">
            <v>6.9093783334251604E-2</v>
          </cell>
          <cell r="AK655" t="str">
            <v>SLR Adjacent</v>
          </cell>
        </row>
        <row r="656">
          <cell r="Y656" t="str">
            <v>Single Family Detached</v>
          </cell>
          <cell r="AG656">
            <v>10</v>
          </cell>
          <cell r="AH656">
            <v>6</v>
          </cell>
          <cell r="AJ656">
            <v>7.5706072928145088E-2</v>
          </cell>
          <cell r="AK656" t="str">
            <v>SLR Adjacent</v>
          </cell>
        </row>
        <row r="657">
          <cell r="Y657" t="str">
            <v>Single Family Detached</v>
          </cell>
          <cell r="AG657">
            <v>10</v>
          </cell>
          <cell r="AH657">
            <v>6</v>
          </cell>
          <cell r="AJ657">
            <v>0.11506327730624427</v>
          </cell>
          <cell r="AK657" t="str">
            <v>SLR Adjacent</v>
          </cell>
        </row>
        <row r="658">
          <cell r="Y658" t="str">
            <v>Single Family Detached</v>
          </cell>
          <cell r="AG658">
            <v>10</v>
          </cell>
          <cell r="AH658">
            <v>6</v>
          </cell>
          <cell r="AJ658">
            <v>5.8913002670569328E-2</v>
          </cell>
          <cell r="AK658" t="str">
            <v>SLR Adjacent</v>
          </cell>
        </row>
        <row r="659">
          <cell r="Y659" t="str">
            <v>Single Family Detached</v>
          </cell>
          <cell r="AG659">
            <v>10</v>
          </cell>
          <cell r="AH659">
            <v>6</v>
          </cell>
          <cell r="AJ659">
            <v>5.6860136954315889E-2</v>
          </cell>
          <cell r="AK659" t="str">
            <v>SLR Adjacent</v>
          </cell>
        </row>
        <row r="660">
          <cell r="Y660" t="str">
            <v>Single Family Detached</v>
          </cell>
          <cell r="AG660">
            <v>10</v>
          </cell>
          <cell r="AH660">
            <v>6</v>
          </cell>
          <cell r="AJ660">
            <v>5.6927718604453628E-2</v>
          </cell>
          <cell r="AK660" t="str">
            <v>SLR Adjacent</v>
          </cell>
        </row>
        <row r="661">
          <cell r="Y661" t="str">
            <v>Single Family Detached</v>
          </cell>
          <cell r="AG661">
            <v>10</v>
          </cell>
          <cell r="AH661">
            <v>6</v>
          </cell>
          <cell r="AJ661">
            <v>5.426564515794307E-2</v>
          </cell>
          <cell r="AK661" t="str">
            <v>SLR Adjacent</v>
          </cell>
        </row>
        <row r="662">
          <cell r="Y662" t="str">
            <v>Single Family Detached</v>
          </cell>
          <cell r="AG662">
            <v>10</v>
          </cell>
          <cell r="AH662">
            <v>6</v>
          </cell>
          <cell r="AJ662">
            <v>5.7231312229109273E-2</v>
          </cell>
          <cell r="AK662" t="str">
            <v>SLR Adjacent</v>
          </cell>
        </row>
        <row r="663">
          <cell r="Y663" t="str">
            <v>Single Family Detached</v>
          </cell>
          <cell r="AG663">
            <v>10</v>
          </cell>
          <cell r="AH663">
            <v>6</v>
          </cell>
          <cell r="AJ663">
            <v>5.7068675382920105E-2</v>
          </cell>
          <cell r="AK663" t="str">
            <v>SLR Adjacent</v>
          </cell>
        </row>
        <row r="664">
          <cell r="Y664" t="str">
            <v>Single Family Detached</v>
          </cell>
          <cell r="AG664">
            <v>10</v>
          </cell>
          <cell r="AH664">
            <v>6</v>
          </cell>
          <cell r="AJ664">
            <v>5.6424063386134066E-2</v>
          </cell>
          <cell r="AK664" t="str">
            <v>SLR Adjacent</v>
          </cell>
        </row>
        <row r="665">
          <cell r="Y665" t="str">
            <v>Single Family Detached</v>
          </cell>
          <cell r="AG665">
            <v>10</v>
          </cell>
          <cell r="AH665">
            <v>6</v>
          </cell>
          <cell r="AJ665">
            <v>5.8489108159090912E-2</v>
          </cell>
          <cell r="AK665" t="str">
            <v>SLR Adjacent</v>
          </cell>
        </row>
        <row r="666">
          <cell r="Y666" t="str">
            <v>Single Family Detached</v>
          </cell>
          <cell r="AG666">
            <v>10</v>
          </cell>
          <cell r="AH666">
            <v>6</v>
          </cell>
          <cell r="AJ666">
            <v>8.0794526510101008E-2</v>
          </cell>
          <cell r="AK666" t="str">
            <v>SLR Adjacent</v>
          </cell>
        </row>
        <row r="667">
          <cell r="Y667" t="str">
            <v>Single Family Detached</v>
          </cell>
          <cell r="AG667">
            <v>10</v>
          </cell>
          <cell r="AH667">
            <v>6</v>
          </cell>
          <cell r="AJ667">
            <v>9.0872052484389343E-2</v>
          </cell>
          <cell r="AK667" t="str">
            <v>SLR Adjacent</v>
          </cell>
        </row>
        <row r="668">
          <cell r="Y668" t="str">
            <v>Single Family Detached</v>
          </cell>
          <cell r="AG668">
            <v>10</v>
          </cell>
          <cell r="AH668">
            <v>6</v>
          </cell>
          <cell r="AJ668">
            <v>5.7760927332185498E-2</v>
          </cell>
          <cell r="AK668" t="str">
            <v>SLR Adjacent</v>
          </cell>
        </row>
        <row r="669">
          <cell r="Y669" t="str">
            <v>Single Family Detached</v>
          </cell>
          <cell r="AG669">
            <v>10</v>
          </cell>
          <cell r="AH669">
            <v>6</v>
          </cell>
          <cell r="AJ669">
            <v>5.7343227008264462E-2</v>
          </cell>
          <cell r="AK669" t="str">
            <v>SLR Adjacent</v>
          </cell>
        </row>
        <row r="670">
          <cell r="Y670" t="str">
            <v>Single Family Detached</v>
          </cell>
          <cell r="AG670">
            <v>10</v>
          </cell>
          <cell r="AH670">
            <v>6</v>
          </cell>
          <cell r="AJ670">
            <v>5.6993786172865012E-2</v>
          </cell>
          <cell r="AK670" t="str">
            <v>SLR Adjacent</v>
          </cell>
        </row>
        <row r="671">
          <cell r="Y671" t="str">
            <v>Single Family Detached</v>
          </cell>
          <cell r="AG671">
            <v>10</v>
          </cell>
          <cell r="AH671">
            <v>6</v>
          </cell>
          <cell r="AJ671">
            <v>0.11743336915335169</v>
          </cell>
          <cell r="AK671" t="str">
            <v>SLR Adjacent</v>
          </cell>
        </row>
        <row r="672">
          <cell r="Y672" t="str">
            <v>Vacant, unbuildable</v>
          </cell>
          <cell r="AG672">
            <v>10</v>
          </cell>
          <cell r="AH672">
            <v>6</v>
          </cell>
          <cell r="AJ672">
            <v>0.11395986979683195</v>
          </cell>
          <cell r="AK672" t="str">
            <v>SLR Adjacent</v>
          </cell>
        </row>
        <row r="673">
          <cell r="Y673" t="str">
            <v>Single Family Detached</v>
          </cell>
          <cell r="AG673">
            <v>10</v>
          </cell>
          <cell r="AH673">
            <v>6</v>
          </cell>
          <cell r="AJ673">
            <v>8.6204123868686866E-2</v>
          </cell>
          <cell r="AK673" t="str">
            <v>SLR Adjacent</v>
          </cell>
        </row>
        <row r="674">
          <cell r="Y674" t="str">
            <v>Vacant, unbuildable</v>
          </cell>
          <cell r="AG674">
            <v>10</v>
          </cell>
          <cell r="AH674">
            <v>6</v>
          </cell>
          <cell r="AJ674">
            <v>0.11182323883471075</v>
          </cell>
          <cell r="AK674" t="str">
            <v>SLR Adjacent</v>
          </cell>
        </row>
        <row r="675">
          <cell r="Y675" t="str">
            <v>Single Family Detached</v>
          </cell>
          <cell r="AG675">
            <v>10</v>
          </cell>
          <cell r="AH675">
            <v>6</v>
          </cell>
          <cell r="AJ675">
            <v>0.11696273976170798</v>
          </cell>
          <cell r="AK675" t="str">
            <v>SLR Adjacent</v>
          </cell>
        </row>
        <row r="676">
          <cell r="Y676" t="str">
            <v>Single Family Detached</v>
          </cell>
          <cell r="AG676">
            <v>10</v>
          </cell>
          <cell r="AH676">
            <v>6</v>
          </cell>
          <cell r="AJ676">
            <v>9.459918572428834E-2</v>
          </cell>
          <cell r="AK676" t="str">
            <v>SLR Adjacent</v>
          </cell>
        </row>
        <row r="677">
          <cell r="Y677" t="str">
            <v>Single Family Detached</v>
          </cell>
          <cell r="AG677">
            <v>10</v>
          </cell>
          <cell r="AH677">
            <v>6</v>
          </cell>
          <cell r="AJ677">
            <v>5.6680113587236E-2</v>
          </cell>
          <cell r="AK677" t="str">
            <v>SLR Adjacent</v>
          </cell>
        </row>
        <row r="678">
          <cell r="Y678" t="str">
            <v>Single Family Detached</v>
          </cell>
          <cell r="AG678">
            <v>10</v>
          </cell>
          <cell r="AH678">
            <v>6</v>
          </cell>
          <cell r="AJ678">
            <v>0.11558118310950412</v>
          </cell>
          <cell r="AK678" t="str">
            <v>SLR Adjacent</v>
          </cell>
        </row>
        <row r="679">
          <cell r="Y679" t="str">
            <v>Single Family Detached</v>
          </cell>
          <cell r="AG679">
            <v>10</v>
          </cell>
          <cell r="AH679">
            <v>6</v>
          </cell>
          <cell r="AJ679">
            <v>8.8939738506657484E-2</v>
          </cell>
          <cell r="AK679" t="str">
            <v>SLR Adjacent</v>
          </cell>
        </row>
        <row r="680">
          <cell r="Y680" t="str">
            <v>Single Family Detached</v>
          </cell>
          <cell r="AG680">
            <v>10</v>
          </cell>
          <cell r="AH680">
            <v>6</v>
          </cell>
          <cell r="AJ680">
            <v>5.4349022821166215E-2</v>
          </cell>
          <cell r="AK680" t="str">
            <v>SLR Adjacent</v>
          </cell>
        </row>
        <row r="681">
          <cell r="Y681" t="str">
            <v>Single Family Detached</v>
          </cell>
          <cell r="AG681">
            <v>10</v>
          </cell>
          <cell r="AH681">
            <v>6</v>
          </cell>
          <cell r="AJ681">
            <v>5.6191712455463727E-2</v>
          </cell>
          <cell r="AK681" t="str">
            <v>SLR Adjacent</v>
          </cell>
        </row>
        <row r="682">
          <cell r="Y682" t="str">
            <v>Single Family Detached</v>
          </cell>
          <cell r="AG682">
            <v>10</v>
          </cell>
          <cell r="AH682">
            <v>6</v>
          </cell>
          <cell r="AJ682">
            <v>5.6874570377869603E-2</v>
          </cell>
          <cell r="AK682" t="str">
            <v>SLR Adjacent</v>
          </cell>
        </row>
        <row r="683">
          <cell r="Y683" t="str">
            <v>Single Family Detached</v>
          </cell>
          <cell r="AG683">
            <v>10</v>
          </cell>
          <cell r="AH683">
            <v>6</v>
          </cell>
          <cell r="AJ683">
            <v>5.6904752766988066E-2</v>
          </cell>
          <cell r="AK683" t="str">
            <v>SLR Adjacent</v>
          </cell>
        </row>
        <row r="684">
          <cell r="Y684" t="str">
            <v>Single Family Detached</v>
          </cell>
          <cell r="AG684">
            <v>10</v>
          </cell>
          <cell r="AH684">
            <v>6</v>
          </cell>
          <cell r="AJ684">
            <v>8.2910638303489437E-2</v>
          </cell>
          <cell r="AK684" t="str">
            <v>SLR Adjacent</v>
          </cell>
        </row>
        <row r="685">
          <cell r="Y685" t="str">
            <v>Single Family Detached</v>
          </cell>
          <cell r="AG685">
            <v>10</v>
          </cell>
          <cell r="AH685">
            <v>6</v>
          </cell>
          <cell r="AJ685">
            <v>5.7672223055555562E-2</v>
          </cell>
          <cell r="AK685" t="str">
            <v>SLR Adjacent</v>
          </cell>
        </row>
        <row r="686">
          <cell r="Y686" t="str">
            <v>Single Family Detached</v>
          </cell>
          <cell r="AG686">
            <v>10</v>
          </cell>
          <cell r="AH686">
            <v>6</v>
          </cell>
          <cell r="AJ686">
            <v>5.7619125420569323E-2</v>
          </cell>
          <cell r="AK686" t="str">
            <v>SLR Adjacent</v>
          </cell>
        </row>
        <row r="687">
          <cell r="Y687" t="str">
            <v>Single Family Detached</v>
          </cell>
          <cell r="AG687">
            <v>10</v>
          </cell>
          <cell r="AH687">
            <v>6</v>
          </cell>
          <cell r="AJ687">
            <v>5.9418003985996323E-2</v>
          </cell>
          <cell r="AK687" t="str">
            <v>SLR Adjacent</v>
          </cell>
        </row>
        <row r="688">
          <cell r="Y688" t="str">
            <v>Single Family Detached</v>
          </cell>
          <cell r="AG688">
            <v>10</v>
          </cell>
          <cell r="AH688">
            <v>6</v>
          </cell>
          <cell r="AJ688">
            <v>5.6714319656106522E-2</v>
          </cell>
          <cell r="AK688" t="str">
            <v>SLR Adjacent</v>
          </cell>
        </row>
        <row r="689">
          <cell r="Y689" t="str">
            <v>Single Family Detached</v>
          </cell>
          <cell r="AG689">
            <v>10</v>
          </cell>
          <cell r="AH689">
            <v>6</v>
          </cell>
          <cell r="AJ689">
            <v>5.6672047542470162E-2</v>
          </cell>
          <cell r="AK689" t="str">
            <v>SLR Adjacent</v>
          </cell>
        </row>
        <row r="690">
          <cell r="Y690" t="str">
            <v>Single Family Detached</v>
          </cell>
          <cell r="AG690">
            <v>10</v>
          </cell>
          <cell r="AH690">
            <v>6</v>
          </cell>
          <cell r="AJ690">
            <v>5.6627186327594128E-2</v>
          </cell>
          <cell r="AK690" t="str">
            <v>SLR Adjacent</v>
          </cell>
        </row>
        <row r="691">
          <cell r="Y691" t="str">
            <v>Single Family Detached</v>
          </cell>
          <cell r="AG691">
            <v>10</v>
          </cell>
          <cell r="AH691">
            <v>6</v>
          </cell>
          <cell r="AJ691">
            <v>5.6954383062213045E-2</v>
          </cell>
          <cell r="AK691" t="str">
            <v>SLR Adjacent</v>
          </cell>
        </row>
        <row r="692">
          <cell r="Y692" t="str">
            <v>Single Family Detached</v>
          </cell>
          <cell r="AG692">
            <v>10</v>
          </cell>
          <cell r="AH692">
            <v>6</v>
          </cell>
          <cell r="AJ692">
            <v>5.1862918100780538E-2</v>
          </cell>
          <cell r="AK692" t="str">
            <v>SLR Adjacent</v>
          </cell>
        </row>
        <row r="693">
          <cell r="Y693" t="str">
            <v>Single Family Detached</v>
          </cell>
          <cell r="AG693">
            <v>10</v>
          </cell>
          <cell r="AH693">
            <v>6</v>
          </cell>
          <cell r="AJ693">
            <v>6.8489925372359969E-2</v>
          </cell>
          <cell r="AK693" t="str">
            <v>SLR Adjacent</v>
          </cell>
        </row>
        <row r="694">
          <cell r="Y694" t="str">
            <v>Single Family Detached</v>
          </cell>
          <cell r="AG694">
            <v>10</v>
          </cell>
          <cell r="AH694">
            <v>6</v>
          </cell>
          <cell r="AJ694">
            <v>0.10427139687167125</v>
          </cell>
          <cell r="AK694" t="str">
            <v>SLR Adjacent</v>
          </cell>
        </row>
        <row r="695">
          <cell r="Y695" t="str">
            <v>Single Family Detached</v>
          </cell>
          <cell r="AG695">
            <v>10</v>
          </cell>
          <cell r="AH695">
            <v>6</v>
          </cell>
          <cell r="AJ695">
            <v>4.7332247526859508E-2</v>
          </cell>
          <cell r="AK695" t="str">
            <v>SLR Adjacent</v>
          </cell>
        </row>
        <row r="696">
          <cell r="Y696" t="str">
            <v>Single Family Detached</v>
          </cell>
          <cell r="AG696">
            <v>10</v>
          </cell>
          <cell r="AH696">
            <v>6</v>
          </cell>
          <cell r="AJ696">
            <v>6.8284740208448116E-2</v>
          </cell>
          <cell r="AK696" t="str">
            <v>SLR Adjacent</v>
          </cell>
        </row>
        <row r="697">
          <cell r="Y697" t="str">
            <v>Single Family Detached</v>
          </cell>
          <cell r="AG697">
            <v>10</v>
          </cell>
          <cell r="AH697">
            <v>6</v>
          </cell>
          <cell r="AJ697">
            <v>5.9211504730945823E-2</v>
          </cell>
          <cell r="AK697" t="str">
            <v>SLR Adjacent</v>
          </cell>
        </row>
        <row r="698">
          <cell r="Y698" t="str">
            <v>Single Family Detached</v>
          </cell>
          <cell r="AG698">
            <v>10</v>
          </cell>
          <cell r="AH698">
            <v>6</v>
          </cell>
          <cell r="AJ698">
            <v>5.7629614110192837E-2</v>
          </cell>
          <cell r="AK698" t="str">
            <v>SLR Adjacent</v>
          </cell>
        </row>
        <row r="699">
          <cell r="Y699" t="str">
            <v>Single Family Detached</v>
          </cell>
          <cell r="AG699">
            <v>10</v>
          </cell>
          <cell r="AH699">
            <v>6</v>
          </cell>
          <cell r="AJ699">
            <v>5.9502624713728192E-2</v>
          </cell>
          <cell r="AK699" t="str">
            <v>SLR Adjacent</v>
          </cell>
        </row>
        <row r="700">
          <cell r="Y700" t="str">
            <v>Single Family Detached</v>
          </cell>
          <cell r="AG700">
            <v>10</v>
          </cell>
          <cell r="AH700">
            <v>6</v>
          </cell>
          <cell r="AJ700">
            <v>5.6941702471533517E-2</v>
          </cell>
          <cell r="AK700" t="str">
            <v>SLR Adjacent</v>
          </cell>
        </row>
        <row r="701">
          <cell r="Y701" t="str">
            <v>Single Family Detached</v>
          </cell>
          <cell r="AG701">
            <v>10</v>
          </cell>
          <cell r="AH701">
            <v>6</v>
          </cell>
          <cell r="AJ701">
            <v>5.7932936122819099E-2</v>
          </cell>
          <cell r="AK701" t="str">
            <v>SLR Adjacent</v>
          </cell>
        </row>
        <row r="702">
          <cell r="Y702" t="str">
            <v>Single Family Detached</v>
          </cell>
          <cell r="AG702">
            <v>10</v>
          </cell>
          <cell r="AH702">
            <v>6</v>
          </cell>
          <cell r="AJ702">
            <v>8.6151488412075303E-2</v>
          </cell>
          <cell r="AK702" t="str">
            <v>SLR Adjacent</v>
          </cell>
        </row>
        <row r="703">
          <cell r="Y703" t="str">
            <v>Single Family Detached</v>
          </cell>
          <cell r="AG703">
            <v>10</v>
          </cell>
          <cell r="AH703">
            <v>6</v>
          </cell>
          <cell r="AJ703">
            <v>5.561261981795225E-2</v>
          </cell>
          <cell r="AK703" t="str">
            <v>SLR Adjacent</v>
          </cell>
        </row>
        <row r="704">
          <cell r="Y704" t="str">
            <v>Single Family Detached</v>
          </cell>
          <cell r="AG704">
            <v>10</v>
          </cell>
          <cell r="AH704">
            <v>6</v>
          </cell>
          <cell r="AJ704">
            <v>0.11577594691666666</v>
          </cell>
          <cell r="AK704" t="str">
            <v>SLR Adjacent</v>
          </cell>
        </row>
        <row r="705">
          <cell r="Y705" t="str">
            <v>Single Family Detached</v>
          </cell>
          <cell r="AG705">
            <v>10</v>
          </cell>
          <cell r="AH705">
            <v>6</v>
          </cell>
          <cell r="AJ705">
            <v>5.5961703212580344E-2</v>
          </cell>
          <cell r="AK705" t="str">
            <v>SLR Adjacent</v>
          </cell>
        </row>
        <row r="706">
          <cell r="Y706" t="str">
            <v>Single Family Detached</v>
          </cell>
          <cell r="AG706">
            <v>10</v>
          </cell>
          <cell r="AH706">
            <v>6</v>
          </cell>
          <cell r="AJ706">
            <v>8.676103664921947E-2</v>
          </cell>
          <cell r="AK706" t="str">
            <v>SLR Adjacent</v>
          </cell>
        </row>
        <row r="707">
          <cell r="Y707" t="str">
            <v>Single Family Detached</v>
          </cell>
          <cell r="AG707">
            <v>10</v>
          </cell>
          <cell r="AH707">
            <v>6</v>
          </cell>
          <cell r="AJ707">
            <v>5.8409539626951328E-2</v>
          </cell>
          <cell r="AK707" t="str">
            <v>SLR Adjacent</v>
          </cell>
        </row>
        <row r="708">
          <cell r="Y708" t="str">
            <v>Single Family Detached</v>
          </cell>
          <cell r="AG708">
            <v>10</v>
          </cell>
          <cell r="AH708">
            <v>6</v>
          </cell>
          <cell r="AJ708">
            <v>0.14838874292194673</v>
          </cell>
          <cell r="AK708" t="str">
            <v>SLR Adjacent</v>
          </cell>
        </row>
        <row r="709">
          <cell r="Y709" t="str">
            <v>Single Family Detached</v>
          </cell>
          <cell r="AG709">
            <v>10</v>
          </cell>
          <cell r="AH709">
            <v>6</v>
          </cell>
          <cell r="AJ709">
            <v>5.7579721964876034E-2</v>
          </cell>
          <cell r="AK709" t="str">
            <v>SLR Adjacent</v>
          </cell>
        </row>
        <row r="710">
          <cell r="Y710" t="str">
            <v>Single Family Detached</v>
          </cell>
          <cell r="AG710">
            <v>10</v>
          </cell>
          <cell r="AH710">
            <v>6</v>
          </cell>
          <cell r="AJ710">
            <v>7.6445246356290172E-2</v>
          </cell>
          <cell r="AK710" t="str">
            <v>SLR Adjacent</v>
          </cell>
        </row>
        <row r="711">
          <cell r="Y711" t="str">
            <v>Single Family Detached</v>
          </cell>
          <cell r="AG711">
            <v>10</v>
          </cell>
          <cell r="AH711">
            <v>6</v>
          </cell>
          <cell r="AJ711">
            <v>5.7643476808769509E-2</v>
          </cell>
          <cell r="AK711" t="str">
            <v>SLR Adjacent</v>
          </cell>
        </row>
        <row r="712">
          <cell r="Y712" t="str">
            <v>Single Family Detached</v>
          </cell>
          <cell r="AG712">
            <v>10</v>
          </cell>
          <cell r="AH712">
            <v>6</v>
          </cell>
          <cell r="AJ712">
            <v>0.11409554414210285</v>
          </cell>
          <cell r="AK712" t="str">
            <v>SLR Adjacent</v>
          </cell>
        </row>
        <row r="713">
          <cell r="Y713" t="str">
            <v>Single Family Detached</v>
          </cell>
          <cell r="AG713">
            <v>10</v>
          </cell>
          <cell r="AH713">
            <v>6</v>
          </cell>
          <cell r="AJ713">
            <v>5.910664569375574E-2</v>
          </cell>
          <cell r="AK713" t="str">
            <v>SLR Adjacent</v>
          </cell>
        </row>
        <row r="714">
          <cell r="Y714" t="str">
            <v>Single Family Detached</v>
          </cell>
          <cell r="AG714">
            <v>10</v>
          </cell>
          <cell r="AH714">
            <v>6</v>
          </cell>
          <cell r="AJ714">
            <v>5.6884485785812677E-2</v>
          </cell>
          <cell r="AK714" t="str">
            <v>SLR Adjacent</v>
          </cell>
        </row>
        <row r="715">
          <cell r="Y715" t="str">
            <v>Single Family Detached</v>
          </cell>
          <cell r="AG715">
            <v>10</v>
          </cell>
          <cell r="AH715">
            <v>6</v>
          </cell>
          <cell r="AJ715">
            <v>5.6448565723829197E-2</v>
          </cell>
          <cell r="AK715" t="str">
            <v>SLR Adjacent</v>
          </cell>
        </row>
        <row r="716">
          <cell r="Y716" t="str">
            <v>Single Family Detached</v>
          </cell>
          <cell r="AG716">
            <v>10</v>
          </cell>
          <cell r="AH716">
            <v>6</v>
          </cell>
          <cell r="AJ716">
            <v>5.4584248904729106E-2</v>
          </cell>
          <cell r="AK716" t="str">
            <v>SLR Adjacent</v>
          </cell>
        </row>
        <row r="717">
          <cell r="Y717" t="str">
            <v>Single Family Detached</v>
          </cell>
          <cell r="AG717">
            <v>10</v>
          </cell>
          <cell r="AH717">
            <v>6</v>
          </cell>
          <cell r="AJ717">
            <v>5.7211687724058768E-2</v>
          </cell>
          <cell r="AK717" t="str">
            <v>SLR Adjacent</v>
          </cell>
        </row>
        <row r="718">
          <cell r="Y718" t="str">
            <v>Single Family Detached</v>
          </cell>
          <cell r="AG718">
            <v>10</v>
          </cell>
          <cell r="AH718">
            <v>6</v>
          </cell>
          <cell r="AJ718">
            <v>0.11400547192217632</v>
          </cell>
          <cell r="AK718" t="str">
            <v>SLR Adjacent</v>
          </cell>
        </row>
        <row r="719">
          <cell r="Y719" t="str">
            <v>Single Family Detached</v>
          </cell>
          <cell r="AG719">
            <v>10</v>
          </cell>
          <cell r="AH719">
            <v>6</v>
          </cell>
          <cell r="AJ719">
            <v>0.14361686840771351</v>
          </cell>
          <cell r="AK719" t="str">
            <v>SLR Adjacent</v>
          </cell>
        </row>
        <row r="720">
          <cell r="Y720" t="str">
            <v>Single Family Detached</v>
          </cell>
          <cell r="AG720">
            <v>10</v>
          </cell>
          <cell r="AH720">
            <v>6</v>
          </cell>
          <cell r="AJ720">
            <v>5.7875589433654735E-2</v>
          </cell>
          <cell r="AK720" t="str">
            <v>SLR Adjacent</v>
          </cell>
        </row>
        <row r="721">
          <cell r="Y721" t="str">
            <v>Single Family Detached</v>
          </cell>
          <cell r="AG721">
            <v>10</v>
          </cell>
          <cell r="AH721">
            <v>6</v>
          </cell>
          <cell r="AJ721">
            <v>0.11329088200206612</v>
          </cell>
          <cell r="AK721" t="str">
            <v>SLR Adjacent</v>
          </cell>
        </row>
        <row r="722">
          <cell r="Y722" t="str">
            <v>Vacant, unbuildable</v>
          </cell>
          <cell r="AG722">
            <v>10</v>
          </cell>
          <cell r="AH722">
            <v>6</v>
          </cell>
          <cell r="AJ722">
            <v>0.11745237950550963</v>
          </cell>
          <cell r="AK722" t="str">
            <v>SLR Adjacent</v>
          </cell>
        </row>
        <row r="723">
          <cell r="Y723" t="str">
            <v>Single Family Attached</v>
          </cell>
          <cell r="AG723">
            <v>10</v>
          </cell>
          <cell r="AH723">
            <v>6</v>
          </cell>
          <cell r="AJ723">
            <v>7.1863018399449044E-2</v>
          </cell>
          <cell r="AK723" t="str">
            <v>SLR Adjacent</v>
          </cell>
        </row>
        <row r="724">
          <cell r="Y724" t="str">
            <v>Single Family Attached</v>
          </cell>
          <cell r="AG724">
            <v>10</v>
          </cell>
          <cell r="AH724">
            <v>6</v>
          </cell>
          <cell r="AJ724">
            <v>7.2984468304407718E-2</v>
          </cell>
          <cell r="AK724" t="str">
            <v>SLR Adjacent</v>
          </cell>
        </row>
        <row r="725">
          <cell r="Y725" t="str">
            <v>Single Family Attached</v>
          </cell>
          <cell r="AG725">
            <v>10</v>
          </cell>
          <cell r="AH725">
            <v>6</v>
          </cell>
          <cell r="AJ725">
            <v>8.5041523367309454E-2</v>
          </cell>
          <cell r="AK725" t="str">
            <v>SLR Adjacent</v>
          </cell>
        </row>
        <row r="726">
          <cell r="Y726" t="str">
            <v>Single Family Attached</v>
          </cell>
          <cell r="AG726">
            <v>10</v>
          </cell>
          <cell r="AH726">
            <v>6</v>
          </cell>
          <cell r="AJ726">
            <v>8.5893473870523415E-2</v>
          </cell>
          <cell r="AK726" t="str">
            <v>SLR Adjacent</v>
          </cell>
        </row>
        <row r="727">
          <cell r="Y727" t="str">
            <v>Single Family Attached</v>
          </cell>
          <cell r="AG727">
            <v>10</v>
          </cell>
          <cell r="AH727">
            <v>6</v>
          </cell>
          <cell r="AJ727">
            <v>5.5795685971074378E-2</v>
          </cell>
          <cell r="AK727" t="str">
            <v>SLR Adjacent</v>
          </cell>
        </row>
        <row r="728">
          <cell r="Y728" t="str">
            <v>Single Family Attached</v>
          </cell>
          <cell r="AG728">
            <v>10</v>
          </cell>
          <cell r="AH728">
            <v>6</v>
          </cell>
          <cell r="AJ728">
            <v>5.6940661593663906E-2</v>
          </cell>
          <cell r="AK728" t="str">
            <v>SLR Adjacent</v>
          </cell>
        </row>
        <row r="729">
          <cell r="Y729" t="str">
            <v>Single Family Attached</v>
          </cell>
          <cell r="AG729">
            <v>10</v>
          </cell>
          <cell r="AH729">
            <v>6</v>
          </cell>
          <cell r="AJ729">
            <v>5.704602181450872E-2</v>
          </cell>
          <cell r="AK729" t="str">
            <v>SLR Adjacent</v>
          </cell>
        </row>
        <row r="730">
          <cell r="Y730" t="str">
            <v>Single Family Attached</v>
          </cell>
          <cell r="AG730">
            <v>10</v>
          </cell>
          <cell r="AH730">
            <v>6</v>
          </cell>
          <cell r="AJ730">
            <v>5.8573206837235998E-2</v>
          </cell>
          <cell r="AK730" t="str">
            <v>SLR Adjacent</v>
          </cell>
        </row>
        <row r="731">
          <cell r="Y731" t="str">
            <v>Single Family Attached</v>
          </cell>
          <cell r="AG731">
            <v>10</v>
          </cell>
          <cell r="AH731">
            <v>6</v>
          </cell>
          <cell r="AJ731">
            <v>5.8359510329889813E-2</v>
          </cell>
          <cell r="AK731" t="str">
            <v>SLR Adjacent</v>
          </cell>
        </row>
        <row r="732">
          <cell r="Y732" t="str">
            <v>Single Family Attached</v>
          </cell>
          <cell r="AG732">
            <v>10</v>
          </cell>
          <cell r="AH732">
            <v>6</v>
          </cell>
          <cell r="AJ732">
            <v>5.90066819905877E-2</v>
          </cell>
          <cell r="AK732" t="str">
            <v>SLR Adjacent</v>
          </cell>
        </row>
        <row r="733">
          <cell r="Y733" t="str">
            <v>Single Family Attached</v>
          </cell>
          <cell r="AG733">
            <v>10</v>
          </cell>
          <cell r="AH733">
            <v>6</v>
          </cell>
          <cell r="AJ733">
            <v>5.7290325920110192E-2</v>
          </cell>
          <cell r="AK733" t="str">
            <v>SLR Adjacent</v>
          </cell>
        </row>
        <row r="734">
          <cell r="Y734" t="str">
            <v>Single Family Attached</v>
          </cell>
          <cell r="AG734">
            <v>10</v>
          </cell>
          <cell r="AH734">
            <v>6</v>
          </cell>
          <cell r="AJ734">
            <v>5.6073073510330577E-2</v>
          </cell>
          <cell r="AK734" t="str">
            <v>SLR Adjacent</v>
          </cell>
        </row>
        <row r="735">
          <cell r="Y735" t="str">
            <v>Single Family Attached</v>
          </cell>
          <cell r="AG735">
            <v>10</v>
          </cell>
          <cell r="AH735">
            <v>6</v>
          </cell>
          <cell r="AJ735">
            <v>9.2076807291551876E-2</v>
          </cell>
          <cell r="AK735" t="str">
            <v>SLR Adjacent</v>
          </cell>
        </row>
        <row r="736">
          <cell r="Y736" t="str">
            <v>Single Family Attached</v>
          </cell>
          <cell r="AG736">
            <v>10</v>
          </cell>
          <cell r="AH736">
            <v>6</v>
          </cell>
          <cell r="AJ736">
            <v>8.2656767874196513E-2</v>
          </cell>
          <cell r="AK736" t="str">
            <v>SLR Adjacent</v>
          </cell>
        </row>
        <row r="737">
          <cell r="Y737" t="str">
            <v>Single Family Attached</v>
          </cell>
          <cell r="AG737">
            <v>10</v>
          </cell>
          <cell r="AH737">
            <v>6</v>
          </cell>
          <cell r="AJ737">
            <v>6.665926065059688E-2</v>
          </cell>
          <cell r="AK737" t="str">
            <v>SLR Adjacent</v>
          </cell>
        </row>
        <row r="738">
          <cell r="Y738" t="str">
            <v>Single Family Attached</v>
          </cell>
          <cell r="AG738">
            <v>10</v>
          </cell>
          <cell r="AH738">
            <v>6</v>
          </cell>
          <cell r="AJ738">
            <v>5.3993241304407719E-2</v>
          </cell>
          <cell r="AK738" t="str">
            <v>SLR Adjacent</v>
          </cell>
        </row>
        <row r="739">
          <cell r="Y739" t="str">
            <v>Single Family Attached</v>
          </cell>
          <cell r="AG739">
            <v>10</v>
          </cell>
          <cell r="AH739">
            <v>6</v>
          </cell>
          <cell r="AJ739">
            <v>7.2738363866850328E-2</v>
          </cell>
          <cell r="AK739" t="str">
            <v>SLR Adjacent</v>
          </cell>
        </row>
        <row r="740">
          <cell r="Y740" t="str">
            <v>Single Family Attached</v>
          </cell>
          <cell r="AG740">
            <v>10</v>
          </cell>
          <cell r="AH740">
            <v>6</v>
          </cell>
          <cell r="AJ740">
            <v>5.2821499825068875E-2</v>
          </cell>
          <cell r="AK740" t="str">
            <v>SLR Adjacent</v>
          </cell>
        </row>
        <row r="741">
          <cell r="Y741" t="str">
            <v>Single Family Attached</v>
          </cell>
          <cell r="AG741">
            <v>10</v>
          </cell>
          <cell r="AH741">
            <v>6</v>
          </cell>
          <cell r="AJ741">
            <v>5.8113757754361804E-2</v>
          </cell>
          <cell r="AK741" t="str">
            <v>SLR Adjacent</v>
          </cell>
        </row>
        <row r="742">
          <cell r="Y742" t="str">
            <v>Single Family Attached</v>
          </cell>
          <cell r="AG742">
            <v>10</v>
          </cell>
          <cell r="AH742">
            <v>6</v>
          </cell>
          <cell r="AJ742">
            <v>6.0111664655188253E-2</v>
          </cell>
          <cell r="AK742" t="str">
            <v>SLR Adjacent</v>
          </cell>
        </row>
        <row r="743">
          <cell r="Y743" t="str">
            <v>Single Family Attached</v>
          </cell>
          <cell r="AG743">
            <v>10</v>
          </cell>
          <cell r="AH743">
            <v>6</v>
          </cell>
          <cell r="AJ743">
            <v>6.5370049356978877E-2</v>
          </cell>
          <cell r="AK743" t="str">
            <v>SLR Adjacent</v>
          </cell>
        </row>
        <row r="744">
          <cell r="Y744" t="str">
            <v>Single Family Attached</v>
          </cell>
          <cell r="AG744">
            <v>10</v>
          </cell>
          <cell r="AH744">
            <v>6</v>
          </cell>
          <cell r="AJ744">
            <v>0.12225440052823693</v>
          </cell>
          <cell r="AK744" t="str">
            <v>SLR Adjacent</v>
          </cell>
        </row>
        <row r="745">
          <cell r="Y745" t="str">
            <v>Single Family Attached</v>
          </cell>
          <cell r="AG745">
            <v>10</v>
          </cell>
          <cell r="AH745">
            <v>6</v>
          </cell>
          <cell r="AJ745">
            <v>0.11320715446602388</v>
          </cell>
          <cell r="AK745" t="str">
            <v>SLR Adjacent</v>
          </cell>
        </row>
        <row r="746">
          <cell r="Y746" t="str">
            <v>Single Family Attached</v>
          </cell>
          <cell r="AG746">
            <v>10</v>
          </cell>
          <cell r="AH746">
            <v>6</v>
          </cell>
          <cell r="AJ746">
            <v>5.82633815929752E-2</v>
          </cell>
          <cell r="AK746" t="str">
            <v>SLR Adjacent</v>
          </cell>
        </row>
        <row r="747">
          <cell r="Y747" t="str">
            <v>Single Family Attached</v>
          </cell>
          <cell r="AG747">
            <v>10</v>
          </cell>
          <cell r="AH747">
            <v>6</v>
          </cell>
          <cell r="AJ747">
            <v>5.9690835404269976E-2</v>
          </cell>
          <cell r="AK747" t="str">
            <v>SLR Adjacent</v>
          </cell>
        </row>
        <row r="748">
          <cell r="Y748" t="str">
            <v>Single Family Attached</v>
          </cell>
          <cell r="AG748">
            <v>10</v>
          </cell>
          <cell r="AH748">
            <v>6</v>
          </cell>
          <cell r="AJ748">
            <v>5.8045081577134991E-2</v>
          </cell>
          <cell r="AK748" t="str">
            <v>SLR Adjacent</v>
          </cell>
        </row>
        <row r="749">
          <cell r="Y749" t="str">
            <v>Single Family Attached</v>
          </cell>
          <cell r="AG749">
            <v>10</v>
          </cell>
          <cell r="AH749">
            <v>6</v>
          </cell>
          <cell r="AJ749">
            <v>5.8348749454775029E-2</v>
          </cell>
          <cell r="AK749" t="str">
            <v>SLR Adjacent</v>
          </cell>
        </row>
        <row r="750">
          <cell r="Y750" t="str">
            <v>Single Family Attached</v>
          </cell>
          <cell r="AG750">
            <v>10</v>
          </cell>
          <cell r="AH750">
            <v>6</v>
          </cell>
          <cell r="AJ750">
            <v>8.4298457156795223E-2</v>
          </cell>
          <cell r="AK750" t="str">
            <v>SLR Adjacent</v>
          </cell>
        </row>
        <row r="751">
          <cell r="Y751" t="str">
            <v>Single Family Attached</v>
          </cell>
          <cell r="AG751">
            <v>10</v>
          </cell>
          <cell r="AH751">
            <v>6</v>
          </cell>
          <cell r="AJ751">
            <v>8.7454974472681357E-2</v>
          </cell>
          <cell r="AK751" t="str">
            <v>SLR Adjacent</v>
          </cell>
        </row>
        <row r="752">
          <cell r="Y752" t="str">
            <v>Single Family Attached</v>
          </cell>
          <cell r="AG752">
            <v>10</v>
          </cell>
          <cell r="AH752">
            <v>6</v>
          </cell>
          <cell r="AJ752">
            <v>5.7847877177915515E-2</v>
          </cell>
          <cell r="AK752" t="str">
            <v>SLR Adjacent</v>
          </cell>
        </row>
        <row r="753">
          <cell r="Y753" t="str">
            <v>Single Family Attached</v>
          </cell>
          <cell r="AG753">
            <v>10</v>
          </cell>
          <cell r="AH753">
            <v>6</v>
          </cell>
          <cell r="AJ753">
            <v>0.11497233224173553</v>
          </cell>
          <cell r="AK753" t="str">
            <v>SLR Adjacent</v>
          </cell>
        </row>
        <row r="754">
          <cell r="Y754" t="str">
            <v>Single Family Attached</v>
          </cell>
          <cell r="AG754">
            <v>10</v>
          </cell>
          <cell r="AH754">
            <v>6</v>
          </cell>
          <cell r="AJ754">
            <v>5.7041443880624425E-2</v>
          </cell>
          <cell r="AK754" t="str">
            <v>SLR Adjacent</v>
          </cell>
        </row>
        <row r="755">
          <cell r="Y755" t="str">
            <v>Single Family Attached</v>
          </cell>
          <cell r="AG755">
            <v>10</v>
          </cell>
          <cell r="AH755">
            <v>6</v>
          </cell>
          <cell r="AJ755">
            <v>5.6614129486225899E-2</v>
          </cell>
          <cell r="AK755" t="str">
            <v>SLR Adjacent</v>
          </cell>
        </row>
        <row r="756">
          <cell r="Y756" t="str">
            <v>Single Family Attached</v>
          </cell>
          <cell r="AG756">
            <v>10</v>
          </cell>
          <cell r="AH756">
            <v>6</v>
          </cell>
          <cell r="AJ756">
            <v>5.7406745740587697E-2</v>
          </cell>
          <cell r="AK756" t="str">
            <v>SLR Adjacent</v>
          </cell>
        </row>
        <row r="757">
          <cell r="Y757" t="str">
            <v>Single Family Attached</v>
          </cell>
          <cell r="AG757">
            <v>10</v>
          </cell>
          <cell r="AH757">
            <v>6</v>
          </cell>
          <cell r="AJ757">
            <v>5.7687344013314969E-2</v>
          </cell>
          <cell r="AK757" t="str">
            <v>SLR Adjacent</v>
          </cell>
        </row>
        <row r="758">
          <cell r="Y758" t="str">
            <v>Single Family Attached</v>
          </cell>
          <cell r="AG758">
            <v>10</v>
          </cell>
          <cell r="AH758">
            <v>6</v>
          </cell>
          <cell r="AJ758">
            <v>5.6805639676997241E-2</v>
          </cell>
          <cell r="AK758" t="str">
            <v>SLR Adjacent</v>
          </cell>
        </row>
        <row r="759">
          <cell r="Y759" t="str">
            <v>Single Family Attached</v>
          </cell>
          <cell r="AG759">
            <v>10</v>
          </cell>
          <cell r="AH759">
            <v>6</v>
          </cell>
          <cell r="AJ759">
            <v>5.7511631224058765E-2</v>
          </cell>
          <cell r="AK759" t="str">
            <v>SLR Adjacent</v>
          </cell>
        </row>
        <row r="760">
          <cell r="Y760" t="str">
            <v>Single Family Attached</v>
          </cell>
          <cell r="AG760">
            <v>10</v>
          </cell>
          <cell r="AH760">
            <v>6</v>
          </cell>
          <cell r="AJ760">
            <v>5.7780415103994488E-2</v>
          </cell>
          <cell r="AK760" t="str">
            <v>SLR Adjacent</v>
          </cell>
        </row>
        <row r="761">
          <cell r="Y761" t="str">
            <v>Single Family Attached</v>
          </cell>
          <cell r="AG761">
            <v>10</v>
          </cell>
          <cell r="AH761">
            <v>6</v>
          </cell>
          <cell r="AJ761">
            <v>0.11491791437006428</v>
          </cell>
          <cell r="AK761" t="str">
            <v>SLR Adjacent</v>
          </cell>
        </row>
        <row r="762">
          <cell r="Y762" t="str">
            <v>Single Family Attached</v>
          </cell>
          <cell r="AG762">
            <v>10</v>
          </cell>
          <cell r="AH762">
            <v>6</v>
          </cell>
          <cell r="AJ762">
            <v>8.7662573286271805E-2</v>
          </cell>
          <cell r="AK762" t="str">
            <v>SLR Adjacent</v>
          </cell>
        </row>
        <row r="763">
          <cell r="Y763" t="str">
            <v>Single Family Attached</v>
          </cell>
          <cell r="AG763">
            <v>10</v>
          </cell>
          <cell r="AH763">
            <v>6</v>
          </cell>
          <cell r="AJ763">
            <v>0.1426730669949495</v>
          </cell>
          <cell r="AK763" t="str">
            <v>SLR Adjacent</v>
          </cell>
        </row>
        <row r="764">
          <cell r="Y764" t="str">
            <v>Single Family Attached</v>
          </cell>
          <cell r="AG764">
            <v>10</v>
          </cell>
          <cell r="AH764">
            <v>6</v>
          </cell>
          <cell r="AJ764">
            <v>5.6526526498393015E-2</v>
          </cell>
          <cell r="AK764" t="str">
            <v>SLR Adjacent</v>
          </cell>
        </row>
        <row r="765">
          <cell r="Y765" t="str">
            <v>Single Family Attached</v>
          </cell>
          <cell r="AG765">
            <v>10</v>
          </cell>
          <cell r="AH765">
            <v>6</v>
          </cell>
          <cell r="AJ765">
            <v>0.1136112766664371</v>
          </cell>
          <cell r="AK765" t="str">
            <v>SLR Adjacent</v>
          </cell>
        </row>
        <row r="766">
          <cell r="Y766" t="str">
            <v>Single Family Attached</v>
          </cell>
          <cell r="AG766">
            <v>10</v>
          </cell>
          <cell r="AH766">
            <v>6</v>
          </cell>
          <cell r="AJ766">
            <v>0.11457176428145088</v>
          </cell>
          <cell r="AK766" t="str">
            <v>SLR Adjacent</v>
          </cell>
        </row>
        <row r="767">
          <cell r="Y767" t="str">
            <v>Single Family Attached</v>
          </cell>
          <cell r="AG767">
            <v>10</v>
          </cell>
          <cell r="AH767">
            <v>6</v>
          </cell>
          <cell r="AJ767">
            <v>0.11341062247337007</v>
          </cell>
          <cell r="AK767" t="str">
            <v>SLR Adjacent</v>
          </cell>
        </row>
        <row r="768">
          <cell r="Y768" t="str">
            <v>Single Family Attached</v>
          </cell>
          <cell r="AG768">
            <v>10</v>
          </cell>
          <cell r="AH768">
            <v>6</v>
          </cell>
          <cell r="AJ768">
            <v>0.11157978973301194</v>
          </cell>
          <cell r="AK768" t="str">
            <v>SLR Adjacent</v>
          </cell>
        </row>
        <row r="769">
          <cell r="Y769" t="str">
            <v>Single Family Attached</v>
          </cell>
          <cell r="AG769">
            <v>10</v>
          </cell>
          <cell r="AH769">
            <v>6</v>
          </cell>
          <cell r="AJ769">
            <v>0.1155316540996327</v>
          </cell>
          <cell r="AK769" t="str">
            <v>SLR Adjacent</v>
          </cell>
        </row>
        <row r="770">
          <cell r="Y770" t="str">
            <v>Single Family Attached</v>
          </cell>
          <cell r="AG770">
            <v>10</v>
          </cell>
          <cell r="AH770">
            <v>6</v>
          </cell>
          <cell r="AJ770">
            <v>0.1122633790254821</v>
          </cell>
          <cell r="AK770" t="str">
            <v>SLR Adjacent</v>
          </cell>
        </row>
        <row r="771">
          <cell r="Y771" t="str">
            <v>Single Family Attached</v>
          </cell>
          <cell r="AG771">
            <v>10</v>
          </cell>
          <cell r="AH771">
            <v>6</v>
          </cell>
          <cell r="AJ771">
            <v>0.11619579568778696</v>
          </cell>
          <cell r="AK771" t="str">
            <v>SLR Adjacent</v>
          </cell>
        </row>
        <row r="772">
          <cell r="Y772" t="str">
            <v>Single Family Attached</v>
          </cell>
          <cell r="AG772">
            <v>10</v>
          </cell>
          <cell r="AH772">
            <v>6</v>
          </cell>
          <cell r="AJ772">
            <v>5.8526205570018364E-2</v>
          </cell>
          <cell r="AK772" t="str">
            <v>SLR Adjacent</v>
          </cell>
        </row>
        <row r="773">
          <cell r="Y773" t="str">
            <v>Single Family Attached</v>
          </cell>
          <cell r="AG773">
            <v>10</v>
          </cell>
          <cell r="AH773">
            <v>6</v>
          </cell>
          <cell r="AJ773">
            <v>5.7433053738062442E-2</v>
          </cell>
          <cell r="AK773" t="str">
            <v>SLR Adjacent</v>
          </cell>
        </row>
        <row r="774">
          <cell r="Y774" t="str">
            <v>Single Family Attached</v>
          </cell>
          <cell r="AG774">
            <v>10</v>
          </cell>
          <cell r="AH774">
            <v>6</v>
          </cell>
          <cell r="AJ774">
            <v>5.925828622612489E-2</v>
          </cell>
          <cell r="AK774" t="str">
            <v>SLR Adjacent</v>
          </cell>
        </row>
        <row r="775">
          <cell r="Y775" t="str">
            <v>Single Family Attached</v>
          </cell>
          <cell r="AG775">
            <v>10</v>
          </cell>
          <cell r="AH775">
            <v>6</v>
          </cell>
          <cell r="AJ775">
            <v>5.5782800824380162E-2</v>
          </cell>
          <cell r="AK775" t="str">
            <v>SLR Adjacent</v>
          </cell>
        </row>
        <row r="776">
          <cell r="Y776" t="str">
            <v>Single Family Attached</v>
          </cell>
          <cell r="AG776">
            <v>10</v>
          </cell>
          <cell r="AH776">
            <v>6</v>
          </cell>
          <cell r="AJ776">
            <v>6.0399244131542705E-2</v>
          </cell>
          <cell r="AK776" t="str">
            <v>SLR Adjacent</v>
          </cell>
        </row>
        <row r="777">
          <cell r="Y777" t="str">
            <v>Single Family Attached</v>
          </cell>
          <cell r="AG777">
            <v>10</v>
          </cell>
          <cell r="AH777">
            <v>6</v>
          </cell>
          <cell r="AJ777">
            <v>5.7321865597566579E-2</v>
          </cell>
          <cell r="AK777" t="str">
            <v>SLR Adjacent</v>
          </cell>
        </row>
        <row r="778">
          <cell r="Y778" t="str">
            <v>Single Family Attached</v>
          </cell>
          <cell r="AG778">
            <v>10</v>
          </cell>
          <cell r="AH778">
            <v>6</v>
          </cell>
          <cell r="AJ778">
            <v>5.9191653382460976E-2</v>
          </cell>
          <cell r="AK778" t="str">
            <v>SLR Adjacent</v>
          </cell>
        </row>
        <row r="779">
          <cell r="Y779" t="str">
            <v>Single Family Attached</v>
          </cell>
          <cell r="AG779">
            <v>10</v>
          </cell>
          <cell r="AH779">
            <v>6</v>
          </cell>
          <cell r="AJ779">
            <v>0.11486913261134069</v>
          </cell>
          <cell r="AK779" t="str">
            <v>SLR Adjacent</v>
          </cell>
        </row>
        <row r="780">
          <cell r="Y780" t="str">
            <v>Single Family Attached</v>
          </cell>
          <cell r="AG780">
            <v>10</v>
          </cell>
          <cell r="AH780">
            <v>6</v>
          </cell>
          <cell r="AJ780">
            <v>0.11436942990266301</v>
          </cell>
          <cell r="AK780" t="str">
            <v>SLR Adjacent</v>
          </cell>
        </row>
        <row r="781">
          <cell r="Y781" t="str">
            <v>Single Family Attached</v>
          </cell>
          <cell r="AG781">
            <v>10</v>
          </cell>
          <cell r="AH781">
            <v>6</v>
          </cell>
          <cell r="AJ781">
            <v>0.11472818724793389</v>
          </cell>
          <cell r="AK781" t="str">
            <v>SLR Adjacent</v>
          </cell>
        </row>
        <row r="782">
          <cell r="Y782" t="str">
            <v>Single Family Attached</v>
          </cell>
          <cell r="AG782">
            <v>10</v>
          </cell>
          <cell r="AH782">
            <v>6</v>
          </cell>
          <cell r="AJ782">
            <v>5.757708505555556E-2</v>
          </cell>
          <cell r="AK782" t="str">
            <v>SLR Adjacent</v>
          </cell>
        </row>
        <row r="783">
          <cell r="Y783" t="str">
            <v>Single Family Attached</v>
          </cell>
          <cell r="AG783">
            <v>10</v>
          </cell>
          <cell r="AH783">
            <v>6</v>
          </cell>
          <cell r="AJ783">
            <v>5.7811491619834711E-2</v>
          </cell>
          <cell r="AK783" t="str">
            <v>SLR Adjacent</v>
          </cell>
        </row>
        <row r="784">
          <cell r="Y784" t="str">
            <v>Single Family Attached</v>
          </cell>
          <cell r="AG784">
            <v>10</v>
          </cell>
          <cell r="AH784">
            <v>6</v>
          </cell>
          <cell r="AJ784">
            <v>5.5116197206152434E-2</v>
          </cell>
          <cell r="AK784" t="str">
            <v>SLR Adjacent</v>
          </cell>
        </row>
        <row r="785">
          <cell r="Y785" t="str">
            <v>Single Family Attached</v>
          </cell>
          <cell r="AG785">
            <v>10</v>
          </cell>
          <cell r="AH785">
            <v>6</v>
          </cell>
          <cell r="AJ785">
            <v>5.6833657125573922E-2</v>
          </cell>
          <cell r="AK785" t="str">
            <v>SLR Adjacent</v>
          </cell>
        </row>
        <row r="786">
          <cell r="Y786" t="str">
            <v>Single Family Attached</v>
          </cell>
          <cell r="AG786">
            <v>10</v>
          </cell>
          <cell r="AH786">
            <v>6</v>
          </cell>
          <cell r="AJ786">
            <v>0.11548159225849404</v>
          </cell>
          <cell r="AK786" t="str">
            <v>SLR Adjacent</v>
          </cell>
        </row>
        <row r="787">
          <cell r="Y787" t="str">
            <v>Single Family Attached</v>
          </cell>
          <cell r="AG787">
            <v>10</v>
          </cell>
          <cell r="AH787">
            <v>6</v>
          </cell>
          <cell r="AJ787">
            <v>5.6360340402892561E-2</v>
          </cell>
          <cell r="AK787" t="str">
            <v>SLR Adjacent</v>
          </cell>
        </row>
        <row r="788">
          <cell r="Y788" t="str">
            <v>Single Family Attached</v>
          </cell>
          <cell r="AG788">
            <v>10</v>
          </cell>
          <cell r="AH788">
            <v>6</v>
          </cell>
          <cell r="AJ788">
            <v>5.7143662898760328E-2</v>
          </cell>
          <cell r="AK788" t="str">
            <v>SLR Adjacent</v>
          </cell>
        </row>
        <row r="789">
          <cell r="Y789" t="str">
            <v>Single Family Attached</v>
          </cell>
          <cell r="AG789">
            <v>10</v>
          </cell>
          <cell r="AH789">
            <v>6</v>
          </cell>
          <cell r="AJ789">
            <v>0.11307675367837465</v>
          </cell>
          <cell r="AK789" t="str">
            <v>SLR Adjacent</v>
          </cell>
        </row>
        <row r="790">
          <cell r="Y790" t="str">
            <v>Single Family Attached</v>
          </cell>
          <cell r="AG790">
            <v>10</v>
          </cell>
          <cell r="AH790">
            <v>6</v>
          </cell>
          <cell r="AJ790">
            <v>0.11290573922589532</v>
          </cell>
          <cell r="AK790" t="str">
            <v>SLR Adjacent</v>
          </cell>
        </row>
        <row r="791">
          <cell r="Y791" t="str">
            <v>Single Family Attached</v>
          </cell>
          <cell r="AG791">
            <v>10</v>
          </cell>
          <cell r="AH791">
            <v>6</v>
          </cell>
          <cell r="AJ791">
            <v>0.11573674455073463</v>
          </cell>
          <cell r="AK791" t="str">
            <v>SLR Adjacent</v>
          </cell>
        </row>
        <row r="792">
          <cell r="Y792" t="str">
            <v>Single Family Attached</v>
          </cell>
          <cell r="AG792">
            <v>10</v>
          </cell>
          <cell r="AH792">
            <v>6</v>
          </cell>
          <cell r="AJ792">
            <v>0.11594774667814509</v>
          </cell>
          <cell r="AK792" t="str">
            <v>SLR Adjacent</v>
          </cell>
        </row>
        <row r="793">
          <cell r="Y793" t="str">
            <v>Single Family Attached</v>
          </cell>
          <cell r="AG793">
            <v>10</v>
          </cell>
          <cell r="AH793">
            <v>6</v>
          </cell>
          <cell r="AJ793">
            <v>0.11477005935055097</v>
          </cell>
          <cell r="AK793" t="str">
            <v>SLR Adjacent</v>
          </cell>
        </row>
        <row r="794">
          <cell r="Y794" t="str">
            <v>Single Family Attached</v>
          </cell>
          <cell r="AG794">
            <v>10</v>
          </cell>
          <cell r="AH794">
            <v>6</v>
          </cell>
          <cell r="AJ794">
            <v>0.11621872325275483</v>
          </cell>
          <cell r="AK794" t="str">
            <v>SLR Adjacent</v>
          </cell>
        </row>
        <row r="795">
          <cell r="Y795" t="str">
            <v>Single Family Attached</v>
          </cell>
          <cell r="AG795">
            <v>10</v>
          </cell>
          <cell r="AH795">
            <v>6</v>
          </cell>
          <cell r="AJ795">
            <v>0.11345369712557392</v>
          </cell>
          <cell r="AK795" t="str">
            <v>SLR Adjacent</v>
          </cell>
        </row>
        <row r="796">
          <cell r="Y796" t="str">
            <v>Single Family Attached</v>
          </cell>
          <cell r="AG796">
            <v>10</v>
          </cell>
          <cell r="AH796">
            <v>6</v>
          </cell>
          <cell r="AJ796">
            <v>0.11413141452892561</v>
          </cell>
          <cell r="AK796" t="str">
            <v>SLR Adjacent</v>
          </cell>
        </row>
        <row r="797">
          <cell r="Y797" t="str">
            <v>Single Family Attached</v>
          </cell>
          <cell r="AG797">
            <v>10</v>
          </cell>
          <cell r="AH797">
            <v>6</v>
          </cell>
          <cell r="AJ797">
            <v>5.6675785014692372E-2</v>
          </cell>
          <cell r="AK797" t="str">
            <v>SLR Adjacent</v>
          </cell>
        </row>
        <row r="798">
          <cell r="Y798" t="str">
            <v>Single Family Attached</v>
          </cell>
          <cell r="AG798">
            <v>10</v>
          </cell>
          <cell r="AH798">
            <v>6</v>
          </cell>
          <cell r="AJ798">
            <v>5.7888199779843899E-2</v>
          </cell>
          <cell r="AK798" t="str">
            <v>SLR Adjacent</v>
          </cell>
        </row>
        <row r="799">
          <cell r="Y799" t="str">
            <v>Single Family Attached</v>
          </cell>
          <cell r="AG799">
            <v>10</v>
          </cell>
          <cell r="AH799">
            <v>6</v>
          </cell>
          <cell r="AJ799">
            <v>0.11309228089876033</v>
          </cell>
          <cell r="AK799" t="str">
            <v>SLR Adjacent</v>
          </cell>
        </row>
        <row r="800">
          <cell r="Y800" t="str">
            <v>Single Family Attached</v>
          </cell>
          <cell r="AG800">
            <v>10</v>
          </cell>
          <cell r="AH800">
            <v>6</v>
          </cell>
          <cell r="AJ800">
            <v>5.7096060112029383E-2</v>
          </cell>
          <cell r="AK800" t="str">
            <v>SLR Adjacent</v>
          </cell>
        </row>
        <row r="801">
          <cell r="Y801" t="str">
            <v>Single Family Attached</v>
          </cell>
          <cell r="AG801">
            <v>10</v>
          </cell>
          <cell r="AH801">
            <v>6</v>
          </cell>
          <cell r="AJ801">
            <v>5.7284250623278236E-2</v>
          </cell>
          <cell r="AK801" t="str">
            <v>SLR Adjacent</v>
          </cell>
        </row>
        <row r="802">
          <cell r="Y802" t="str">
            <v>Single Family Attached</v>
          </cell>
          <cell r="AG802">
            <v>10</v>
          </cell>
          <cell r="AH802">
            <v>6</v>
          </cell>
          <cell r="AJ802">
            <v>5.8445065685491272E-2</v>
          </cell>
          <cell r="AK802" t="str">
            <v>SLR Adjacent</v>
          </cell>
        </row>
        <row r="803">
          <cell r="Y803" t="str">
            <v>Single Family Attached</v>
          </cell>
          <cell r="AG803">
            <v>10</v>
          </cell>
          <cell r="AH803">
            <v>6</v>
          </cell>
          <cell r="AJ803">
            <v>0.11119291581129476</v>
          </cell>
          <cell r="AK803" t="str">
            <v>SLR Adjacent</v>
          </cell>
        </row>
        <row r="804">
          <cell r="Y804" t="str">
            <v>Single Family Attached</v>
          </cell>
          <cell r="AG804">
            <v>10</v>
          </cell>
          <cell r="AH804">
            <v>6</v>
          </cell>
          <cell r="AJ804">
            <v>0.11371506212626262</v>
          </cell>
          <cell r="AK804" t="str">
            <v>SLR Adjacent</v>
          </cell>
        </row>
        <row r="805">
          <cell r="Y805" t="str">
            <v>Single Family Attached</v>
          </cell>
          <cell r="AG805">
            <v>10</v>
          </cell>
          <cell r="AH805">
            <v>6</v>
          </cell>
          <cell r="AJ805">
            <v>0.11087492635055096</v>
          </cell>
          <cell r="AK805" t="str">
            <v>SLR Adjacent</v>
          </cell>
        </row>
        <row r="806">
          <cell r="Y806" t="str">
            <v>Single Family Attached</v>
          </cell>
          <cell r="AG806">
            <v>10</v>
          </cell>
          <cell r="AH806">
            <v>6</v>
          </cell>
          <cell r="AJ806">
            <v>0.11428285788406795</v>
          </cell>
          <cell r="AK806" t="str">
            <v>SLR Adjacent</v>
          </cell>
        </row>
        <row r="807">
          <cell r="Y807" t="str">
            <v>Single Family Attached</v>
          </cell>
          <cell r="AG807">
            <v>10</v>
          </cell>
          <cell r="AH807">
            <v>6</v>
          </cell>
          <cell r="AJ807">
            <v>0.11484995448943985</v>
          </cell>
          <cell r="AK807" t="str">
            <v>SLR Adjacent</v>
          </cell>
        </row>
        <row r="808">
          <cell r="Y808" t="str">
            <v>Single Family Attached</v>
          </cell>
          <cell r="AG808">
            <v>10</v>
          </cell>
          <cell r="AH808">
            <v>6</v>
          </cell>
          <cell r="AJ808">
            <v>0.11271012785927456</v>
          </cell>
          <cell r="AK808" t="str">
            <v>SLR Adjacent</v>
          </cell>
        </row>
        <row r="809">
          <cell r="Y809" t="str">
            <v>Single Family Attached</v>
          </cell>
          <cell r="AG809">
            <v>10</v>
          </cell>
          <cell r="AH809">
            <v>6</v>
          </cell>
          <cell r="AJ809">
            <v>5.6813981460743797E-2</v>
          </cell>
          <cell r="AK809" t="str">
            <v>SLR Adjacent</v>
          </cell>
        </row>
        <row r="810">
          <cell r="Y810" t="str">
            <v>Single Family Attached</v>
          </cell>
          <cell r="AG810">
            <v>10</v>
          </cell>
          <cell r="AH810">
            <v>6</v>
          </cell>
          <cell r="AJ810">
            <v>5.6557394953168048E-2</v>
          </cell>
          <cell r="AK810" t="str">
            <v>SLR Adjacent</v>
          </cell>
        </row>
        <row r="811">
          <cell r="Y811" t="str">
            <v>Single Family Attached</v>
          </cell>
          <cell r="AG811">
            <v>10</v>
          </cell>
          <cell r="AH811">
            <v>6</v>
          </cell>
          <cell r="AJ811">
            <v>5.7191619518824607E-2</v>
          </cell>
          <cell r="AK811" t="str">
            <v>SLR Adjacent</v>
          </cell>
        </row>
        <row r="812">
          <cell r="Y812" t="str">
            <v>Single Family Attached</v>
          </cell>
          <cell r="AG812">
            <v>10</v>
          </cell>
          <cell r="AH812">
            <v>6</v>
          </cell>
          <cell r="AJ812">
            <v>5.6219205744719933E-2</v>
          </cell>
          <cell r="AK812" t="str">
            <v>SLR Adjacent</v>
          </cell>
        </row>
        <row r="813">
          <cell r="Y813" t="str">
            <v>Single Family Attached</v>
          </cell>
          <cell r="AG813">
            <v>10</v>
          </cell>
          <cell r="AH813">
            <v>6</v>
          </cell>
          <cell r="AJ813">
            <v>5.7252633990587699E-2</v>
          </cell>
          <cell r="AK813" t="str">
            <v>SLR Adjacent</v>
          </cell>
        </row>
        <row r="814">
          <cell r="Y814" t="str">
            <v>Single Family Attached</v>
          </cell>
          <cell r="AG814">
            <v>10</v>
          </cell>
          <cell r="AH814">
            <v>6</v>
          </cell>
          <cell r="AJ814">
            <v>5.6568672775711669E-2</v>
          </cell>
          <cell r="AK814" t="str">
            <v>SLR Adjacent</v>
          </cell>
        </row>
        <row r="815">
          <cell r="Y815" t="str">
            <v>Single Family Attached</v>
          </cell>
          <cell r="AG815">
            <v>10</v>
          </cell>
          <cell r="AH815">
            <v>6</v>
          </cell>
          <cell r="AJ815">
            <v>5.7287454360192842E-2</v>
          </cell>
          <cell r="AK815" t="str">
            <v>SLR Adjacent</v>
          </cell>
        </row>
        <row r="816">
          <cell r="Y816" t="str">
            <v>Single Family Attached</v>
          </cell>
          <cell r="AG816">
            <v>10</v>
          </cell>
          <cell r="AH816">
            <v>6</v>
          </cell>
          <cell r="AJ816">
            <v>0.11475840581657484</v>
          </cell>
          <cell r="AK816" t="str">
            <v>SLR Adjacent</v>
          </cell>
        </row>
        <row r="817">
          <cell r="Y817" t="str">
            <v>Single Family Attached</v>
          </cell>
          <cell r="AG817">
            <v>10</v>
          </cell>
          <cell r="AH817">
            <v>6</v>
          </cell>
          <cell r="AJ817">
            <v>0.1148810869214876</v>
          </cell>
          <cell r="AK817" t="str">
            <v>SLR Adjacent</v>
          </cell>
        </row>
        <row r="818">
          <cell r="Y818" t="str">
            <v>Single Family Attached</v>
          </cell>
          <cell r="AG818">
            <v>10</v>
          </cell>
          <cell r="AH818">
            <v>6</v>
          </cell>
          <cell r="AJ818">
            <v>5.6089100083103763E-2</v>
          </cell>
          <cell r="AK818" t="str">
            <v>SLR Adjacent</v>
          </cell>
        </row>
        <row r="819">
          <cell r="Y819" t="str">
            <v>Single Family Attached</v>
          </cell>
          <cell r="AG819">
            <v>10</v>
          </cell>
          <cell r="AH819">
            <v>6</v>
          </cell>
          <cell r="AJ819">
            <v>5.6434414188475661E-2</v>
          </cell>
          <cell r="AK819" t="str">
            <v>SLR Adjacent</v>
          </cell>
        </row>
        <row r="820">
          <cell r="Y820" t="str">
            <v>Single Family Attached</v>
          </cell>
          <cell r="AG820">
            <v>10</v>
          </cell>
          <cell r="AH820">
            <v>6</v>
          </cell>
          <cell r="AJ820">
            <v>0.11591941297130395</v>
          </cell>
          <cell r="AK820" t="str">
            <v>SLR Adjacent</v>
          </cell>
        </row>
        <row r="821">
          <cell r="Y821" t="str">
            <v>Single Family Attached</v>
          </cell>
          <cell r="AG821">
            <v>10</v>
          </cell>
          <cell r="AH821">
            <v>6</v>
          </cell>
          <cell r="AJ821">
            <v>5.7668595504820938E-2</v>
          </cell>
          <cell r="AK821" t="str">
            <v>SLR Adjacent</v>
          </cell>
        </row>
        <row r="822">
          <cell r="Y822" t="str">
            <v>Single Family Attached</v>
          </cell>
          <cell r="AG822">
            <v>10</v>
          </cell>
          <cell r="AH822">
            <v>6</v>
          </cell>
          <cell r="AJ822">
            <v>8.1284159386822763E-2</v>
          </cell>
          <cell r="AK822" t="str">
            <v>SLR Adjacent</v>
          </cell>
        </row>
        <row r="823">
          <cell r="Y823" t="str">
            <v>Single Family Attached</v>
          </cell>
          <cell r="AG823">
            <v>10</v>
          </cell>
          <cell r="AH823">
            <v>6</v>
          </cell>
          <cell r="AJ823">
            <v>5.7206797917355376E-2</v>
          </cell>
          <cell r="AK823" t="str">
            <v>SLR Adjacent</v>
          </cell>
        </row>
        <row r="824">
          <cell r="Y824" t="str">
            <v>Single Family Attached</v>
          </cell>
          <cell r="AG824">
            <v>10</v>
          </cell>
          <cell r="AH824">
            <v>6</v>
          </cell>
          <cell r="AJ824">
            <v>5.9024823946740128E-2</v>
          </cell>
          <cell r="AK824" t="str">
            <v>SLR Adjacent</v>
          </cell>
        </row>
        <row r="825">
          <cell r="Y825" t="str">
            <v>Single Family Attached</v>
          </cell>
          <cell r="AG825">
            <v>10</v>
          </cell>
          <cell r="AH825">
            <v>6</v>
          </cell>
          <cell r="AJ825">
            <v>0.11705339324885215</v>
          </cell>
          <cell r="AK825" t="str">
            <v>SLR Adjacent</v>
          </cell>
        </row>
        <row r="826">
          <cell r="Y826" t="str">
            <v>Single Family Detached</v>
          </cell>
          <cell r="AG826">
            <v>10</v>
          </cell>
          <cell r="AH826">
            <v>6</v>
          </cell>
          <cell r="AJ826">
            <v>0.11742456605762167</v>
          </cell>
          <cell r="AK826" t="str">
            <v>SLR Adjacent</v>
          </cell>
        </row>
        <row r="827">
          <cell r="Y827" t="str">
            <v>Single Family Detached</v>
          </cell>
          <cell r="AG827">
            <v>10</v>
          </cell>
          <cell r="AH827">
            <v>6</v>
          </cell>
          <cell r="AJ827">
            <v>0.11328967842814509</v>
          </cell>
          <cell r="AK827" t="str">
            <v>SLR Adjacent</v>
          </cell>
        </row>
        <row r="828">
          <cell r="Y828" t="str">
            <v>Single Family Detached</v>
          </cell>
          <cell r="AG828">
            <v>10</v>
          </cell>
          <cell r="AH828">
            <v>6</v>
          </cell>
          <cell r="AJ828">
            <v>0.10657452221258036</v>
          </cell>
          <cell r="AK828" t="str">
            <v>SLR Adjacent</v>
          </cell>
        </row>
        <row r="829">
          <cell r="Y829" t="str">
            <v>Single Family Detached</v>
          </cell>
          <cell r="AG829">
            <v>10</v>
          </cell>
          <cell r="AH829">
            <v>6</v>
          </cell>
          <cell r="AJ829">
            <v>8.762813065128558E-2</v>
          </cell>
          <cell r="AK829" t="str">
            <v>SLR Adjacent</v>
          </cell>
        </row>
        <row r="830">
          <cell r="Y830" t="str">
            <v>Single Family Detached</v>
          </cell>
          <cell r="AG830">
            <v>10</v>
          </cell>
          <cell r="AH830">
            <v>6</v>
          </cell>
          <cell r="AJ830">
            <v>8.7183753039256198E-2</v>
          </cell>
          <cell r="AK830" t="str">
            <v>SLR Adjacent</v>
          </cell>
        </row>
        <row r="831">
          <cell r="Y831" t="str">
            <v>Single Family Detached</v>
          </cell>
          <cell r="AG831">
            <v>10</v>
          </cell>
          <cell r="AH831">
            <v>6</v>
          </cell>
          <cell r="AJ831">
            <v>5.4351361474288339E-2</v>
          </cell>
          <cell r="AK831" t="str">
            <v>SLR Adjacent</v>
          </cell>
        </row>
        <row r="832">
          <cell r="Y832" t="str">
            <v>Single Family Detached</v>
          </cell>
          <cell r="AG832">
            <v>10</v>
          </cell>
          <cell r="AH832">
            <v>6</v>
          </cell>
          <cell r="AJ832">
            <v>6.2119190935950412E-2</v>
          </cell>
          <cell r="AK832" t="str">
            <v>SLR Adjacent</v>
          </cell>
        </row>
        <row r="833">
          <cell r="Y833" t="str">
            <v>Single Family Detached</v>
          </cell>
          <cell r="AG833">
            <v>10</v>
          </cell>
          <cell r="AH833">
            <v>6</v>
          </cell>
          <cell r="AJ833">
            <v>0.11603106348943984</v>
          </cell>
          <cell r="AK833" t="str">
            <v>SLR Adjacent</v>
          </cell>
        </row>
        <row r="834">
          <cell r="Y834" t="str">
            <v>Single Family Detached</v>
          </cell>
          <cell r="AG834">
            <v>10</v>
          </cell>
          <cell r="AH834">
            <v>6</v>
          </cell>
          <cell r="AJ834">
            <v>9.6249817895775955E-2</v>
          </cell>
          <cell r="AK834" t="str">
            <v>SLR Adjacent</v>
          </cell>
        </row>
        <row r="835">
          <cell r="Y835" t="str">
            <v>Single Family Detached</v>
          </cell>
          <cell r="AG835">
            <v>10</v>
          </cell>
          <cell r="AH835">
            <v>6</v>
          </cell>
          <cell r="AJ835">
            <v>5.655620660812672E-2</v>
          </cell>
          <cell r="AK835" t="str">
            <v>SLR Adjacent</v>
          </cell>
        </row>
        <row r="836">
          <cell r="Y836" t="str">
            <v>Single Family Detached</v>
          </cell>
          <cell r="AG836">
            <v>10</v>
          </cell>
          <cell r="AH836">
            <v>6</v>
          </cell>
          <cell r="AJ836">
            <v>5.9558700943067033E-2</v>
          </cell>
          <cell r="AK836" t="str">
            <v>SLR Adjacent</v>
          </cell>
        </row>
        <row r="837">
          <cell r="Y837" t="str">
            <v>Single Family Detached</v>
          </cell>
          <cell r="AG837">
            <v>10</v>
          </cell>
          <cell r="AH837">
            <v>6</v>
          </cell>
          <cell r="AJ837">
            <v>5.4625087869375567E-2</v>
          </cell>
          <cell r="AK837" t="str">
            <v>SLR Adjacent</v>
          </cell>
        </row>
        <row r="838">
          <cell r="Y838" t="str">
            <v>Single Family Detached</v>
          </cell>
          <cell r="AG838">
            <v>10</v>
          </cell>
          <cell r="AH838">
            <v>6</v>
          </cell>
          <cell r="AJ838">
            <v>9.1504942831955927E-2</v>
          </cell>
          <cell r="AK838" t="str">
            <v>SLR Adjacent</v>
          </cell>
        </row>
        <row r="839">
          <cell r="Y839" t="str">
            <v>Single Family Detached</v>
          </cell>
          <cell r="AG839">
            <v>10</v>
          </cell>
          <cell r="AH839">
            <v>6</v>
          </cell>
          <cell r="AJ839">
            <v>6.9320728579201102E-2</v>
          </cell>
          <cell r="AK839" t="str">
            <v>SLR Adjacent</v>
          </cell>
        </row>
        <row r="840">
          <cell r="Y840" t="str">
            <v>Single Family Detached</v>
          </cell>
          <cell r="AG840">
            <v>10</v>
          </cell>
          <cell r="AH840">
            <v>6</v>
          </cell>
          <cell r="AJ840">
            <v>7.1677641362718092E-2</v>
          </cell>
          <cell r="AK840" t="str">
            <v>SLR Adjacent</v>
          </cell>
        </row>
        <row r="841">
          <cell r="Y841" t="str">
            <v>Single Family Detached</v>
          </cell>
          <cell r="AG841">
            <v>10</v>
          </cell>
          <cell r="AH841">
            <v>6</v>
          </cell>
          <cell r="AJ841">
            <v>0.11570407228397613</v>
          </cell>
          <cell r="AK841" t="str">
            <v>SLR Adjacent</v>
          </cell>
        </row>
        <row r="842">
          <cell r="Y842" t="str">
            <v>Single Family Detached</v>
          </cell>
          <cell r="AG842">
            <v>10</v>
          </cell>
          <cell r="AH842">
            <v>6</v>
          </cell>
          <cell r="AJ842">
            <v>0.13623765227984388</v>
          </cell>
          <cell r="AK842" t="str">
            <v>SLR Adjacent</v>
          </cell>
        </row>
        <row r="843">
          <cell r="Y843" t="str">
            <v>Single Family Detached</v>
          </cell>
          <cell r="AG843">
            <v>10</v>
          </cell>
          <cell r="AH843">
            <v>6</v>
          </cell>
          <cell r="AJ843">
            <v>6.7377264079889809E-2</v>
          </cell>
          <cell r="AK843" t="str">
            <v>SLR Adjacent</v>
          </cell>
        </row>
        <row r="844">
          <cell r="Y844" t="str">
            <v>Single Family Detached</v>
          </cell>
          <cell r="AG844">
            <v>10</v>
          </cell>
          <cell r="AH844">
            <v>6</v>
          </cell>
          <cell r="AJ844">
            <v>6.5401661220615248E-2</v>
          </cell>
          <cell r="AK844" t="str">
            <v>SLR Adjacent</v>
          </cell>
        </row>
        <row r="845">
          <cell r="Y845" t="str">
            <v>Single Family Detached</v>
          </cell>
          <cell r="AG845">
            <v>10</v>
          </cell>
          <cell r="AH845">
            <v>6</v>
          </cell>
          <cell r="AJ845">
            <v>0.11445545832460974</v>
          </cell>
          <cell r="AK845" t="str">
            <v>SLR Adjacent</v>
          </cell>
        </row>
        <row r="846">
          <cell r="Y846" t="str">
            <v>Single Family Detached</v>
          </cell>
          <cell r="AG846">
            <v>10</v>
          </cell>
          <cell r="AH846">
            <v>6</v>
          </cell>
          <cell r="AJ846">
            <v>6.0296722808080815E-2</v>
          </cell>
          <cell r="AK846" t="str">
            <v>SLR Adjacent</v>
          </cell>
        </row>
        <row r="847">
          <cell r="Y847" t="str">
            <v>Single Family Detached</v>
          </cell>
          <cell r="AG847">
            <v>10</v>
          </cell>
          <cell r="AH847">
            <v>6</v>
          </cell>
          <cell r="AJ847">
            <v>8.403794080693297E-2</v>
          </cell>
          <cell r="AK847" t="str">
            <v>SLR Adjacent</v>
          </cell>
        </row>
        <row r="848">
          <cell r="Y848" t="str">
            <v>Single Family Detached</v>
          </cell>
          <cell r="AG848">
            <v>10</v>
          </cell>
          <cell r="AH848">
            <v>6</v>
          </cell>
          <cell r="AJ848">
            <v>8.7827423776170796E-2</v>
          </cell>
          <cell r="AK848" t="str">
            <v>SLR Adjacent</v>
          </cell>
        </row>
        <row r="849">
          <cell r="Y849" t="str">
            <v>Single Family Detached</v>
          </cell>
          <cell r="AG849">
            <v>10</v>
          </cell>
          <cell r="AH849">
            <v>6</v>
          </cell>
          <cell r="AJ849">
            <v>0.1151930486264922</v>
          </cell>
          <cell r="AK849" t="str">
            <v>SLR Adjacent</v>
          </cell>
        </row>
        <row r="850">
          <cell r="Y850" t="str">
            <v>Single Family Detached</v>
          </cell>
          <cell r="AG850">
            <v>10</v>
          </cell>
          <cell r="AH850">
            <v>6</v>
          </cell>
          <cell r="AJ850">
            <v>0.1217847015036731</v>
          </cell>
          <cell r="AK850" t="str">
            <v>SLR Adjacent</v>
          </cell>
        </row>
        <row r="851">
          <cell r="Y851" t="str">
            <v>Single Family Detached</v>
          </cell>
          <cell r="AG851">
            <v>10</v>
          </cell>
          <cell r="AH851">
            <v>6</v>
          </cell>
          <cell r="AJ851">
            <v>0.11085381279155188</v>
          </cell>
          <cell r="AK851" t="str">
            <v>SLR Adjacent</v>
          </cell>
        </row>
        <row r="852">
          <cell r="Y852" t="str">
            <v>Single Family Detached</v>
          </cell>
          <cell r="AG852">
            <v>10</v>
          </cell>
          <cell r="AH852">
            <v>6</v>
          </cell>
          <cell r="AJ852">
            <v>0.11445930040220387</v>
          </cell>
          <cell r="AK852" t="str">
            <v>SLR Adjacent</v>
          </cell>
        </row>
        <row r="853">
          <cell r="Y853" t="str">
            <v>Single Family Detached</v>
          </cell>
          <cell r="AG853">
            <v>10</v>
          </cell>
          <cell r="AH853">
            <v>6</v>
          </cell>
          <cell r="AJ853">
            <v>5.790776449701561E-2</v>
          </cell>
          <cell r="AK853" t="str">
            <v>SLR Adjacent</v>
          </cell>
        </row>
        <row r="854">
          <cell r="Y854" t="str">
            <v>Single Family Detached</v>
          </cell>
          <cell r="AG854">
            <v>10</v>
          </cell>
          <cell r="AH854">
            <v>6</v>
          </cell>
          <cell r="AJ854">
            <v>9.6444317262396703E-2</v>
          </cell>
          <cell r="AK854" t="str">
            <v>SLR Adjacent</v>
          </cell>
        </row>
        <row r="855">
          <cell r="Y855" t="str">
            <v>Single Family Detached</v>
          </cell>
          <cell r="AG855">
            <v>10</v>
          </cell>
          <cell r="AH855">
            <v>6</v>
          </cell>
          <cell r="AJ855">
            <v>9.7541200972910913E-2</v>
          </cell>
          <cell r="AK855" t="str">
            <v>SLR Adjacent</v>
          </cell>
        </row>
        <row r="856">
          <cell r="Y856" t="str">
            <v>Single Family Detached</v>
          </cell>
          <cell r="AG856">
            <v>10</v>
          </cell>
          <cell r="AH856">
            <v>6</v>
          </cell>
          <cell r="AJ856">
            <v>9.4462367860192839E-2</v>
          </cell>
          <cell r="AK856" t="str">
            <v>SLR Adjacent</v>
          </cell>
        </row>
        <row r="857">
          <cell r="Y857" t="str">
            <v>Single Family Detached</v>
          </cell>
          <cell r="AG857">
            <v>10</v>
          </cell>
          <cell r="AH857">
            <v>6</v>
          </cell>
          <cell r="AJ857">
            <v>0.11672160539164372</v>
          </cell>
          <cell r="AK857" t="str">
            <v>SLR Adjacent</v>
          </cell>
        </row>
        <row r="858">
          <cell r="Y858" t="str">
            <v>Single Family Detached</v>
          </cell>
          <cell r="AG858">
            <v>10</v>
          </cell>
          <cell r="AH858">
            <v>6</v>
          </cell>
          <cell r="AJ858">
            <v>0.11570745751193755</v>
          </cell>
          <cell r="AK858" t="str">
            <v>SLR Adjacent</v>
          </cell>
        </row>
        <row r="859">
          <cell r="Y859" t="str">
            <v>Single Family Detached</v>
          </cell>
          <cell r="AG859">
            <v>10</v>
          </cell>
          <cell r="AH859">
            <v>6</v>
          </cell>
          <cell r="AJ859">
            <v>0.13931663458310375</v>
          </cell>
          <cell r="AK859" t="str">
            <v>SLR Adjacent</v>
          </cell>
        </row>
        <row r="860">
          <cell r="Y860" t="str">
            <v>Single Family Detached</v>
          </cell>
          <cell r="AG860">
            <v>10</v>
          </cell>
          <cell r="AH860">
            <v>6</v>
          </cell>
          <cell r="AJ860">
            <v>0.14676664443227733</v>
          </cell>
          <cell r="AK860" t="str">
            <v>SLR Adjacent</v>
          </cell>
        </row>
        <row r="861">
          <cell r="Y861" t="str">
            <v>Single Family Detached</v>
          </cell>
          <cell r="AG861">
            <v>10</v>
          </cell>
          <cell r="AH861">
            <v>6</v>
          </cell>
          <cell r="AJ861">
            <v>0.11233996427089071</v>
          </cell>
          <cell r="AK861" t="str">
            <v>SLR Adjacent</v>
          </cell>
        </row>
        <row r="862">
          <cell r="Y862" t="str">
            <v>Single Family Detached</v>
          </cell>
          <cell r="AG862">
            <v>10</v>
          </cell>
          <cell r="AH862">
            <v>6</v>
          </cell>
          <cell r="AJ862">
            <v>0.11614856803282828</v>
          </cell>
          <cell r="AK862" t="str">
            <v>SLR Adjacent</v>
          </cell>
        </row>
        <row r="863">
          <cell r="Y863" t="str">
            <v>Single Family Detached</v>
          </cell>
          <cell r="AG863">
            <v>10</v>
          </cell>
          <cell r="AH863">
            <v>6</v>
          </cell>
          <cell r="AJ863">
            <v>5.7351596028236911E-2</v>
          </cell>
          <cell r="AK863" t="str">
            <v>SLR Adjacent</v>
          </cell>
        </row>
        <row r="864">
          <cell r="Y864" t="str">
            <v>Single Family Detached</v>
          </cell>
          <cell r="AG864">
            <v>10</v>
          </cell>
          <cell r="AH864">
            <v>6</v>
          </cell>
          <cell r="AJ864">
            <v>0.11346899978719008</v>
          </cell>
          <cell r="AK864" t="str">
            <v>SLR Adjacent</v>
          </cell>
        </row>
        <row r="865">
          <cell r="Y865" t="str">
            <v>Single Family Detached</v>
          </cell>
          <cell r="AG865">
            <v>10</v>
          </cell>
          <cell r="AH865">
            <v>6</v>
          </cell>
          <cell r="AJ865">
            <v>0.12976168824242423</v>
          </cell>
          <cell r="AK865" t="str">
            <v>SLR Adjacent</v>
          </cell>
        </row>
        <row r="866">
          <cell r="Y866" t="str">
            <v>Single Family Detached</v>
          </cell>
          <cell r="AG866">
            <v>10</v>
          </cell>
          <cell r="AH866">
            <v>6</v>
          </cell>
          <cell r="AJ866">
            <v>0.11945518247933884</v>
          </cell>
          <cell r="AK866" t="str">
            <v>SLR Adjacent</v>
          </cell>
        </row>
        <row r="867">
          <cell r="Y867" t="str">
            <v>Single Family Detached</v>
          </cell>
          <cell r="AG867">
            <v>10</v>
          </cell>
          <cell r="AH867">
            <v>6</v>
          </cell>
          <cell r="AJ867">
            <v>0.11346452675321396</v>
          </cell>
          <cell r="AK867" t="str">
            <v>SLR Adjacent</v>
          </cell>
        </row>
        <row r="868">
          <cell r="Y868" t="str">
            <v>Single Family Detached</v>
          </cell>
          <cell r="AG868">
            <v>10</v>
          </cell>
          <cell r="AH868">
            <v>6</v>
          </cell>
          <cell r="AJ868">
            <v>0.12709223177134987</v>
          </cell>
          <cell r="AK868" t="str">
            <v>SLR Adjacent</v>
          </cell>
        </row>
        <row r="869">
          <cell r="Y869" t="str">
            <v>Single Family Detached</v>
          </cell>
          <cell r="AG869">
            <v>10</v>
          </cell>
          <cell r="AH869">
            <v>6</v>
          </cell>
          <cell r="AJ869">
            <v>0.14872758682139578</v>
          </cell>
          <cell r="AK869" t="str">
            <v>SLR Adjacent</v>
          </cell>
        </row>
        <row r="870">
          <cell r="Y870" t="str">
            <v>Single Family Detached</v>
          </cell>
          <cell r="AG870">
            <v>10</v>
          </cell>
          <cell r="AH870">
            <v>6</v>
          </cell>
          <cell r="AJ870">
            <v>0.14103014003489439</v>
          </cell>
          <cell r="AK870" t="str">
            <v>SLR Adjacent</v>
          </cell>
        </row>
        <row r="871">
          <cell r="Y871" t="str">
            <v>Single Family Detached</v>
          </cell>
          <cell r="AG871">
            <v>10</v>
          </cell>
          <cell r="AH871">
            <v>6</v>
          </cell>
          <cell r="AJ871">
            <v>0.12089481500022956</v>
          </cell>
          <cell r="AK871" t="str">
            <v>SLR Adjacent</v>
          </cell>
        </row>
        <row r="872">
          <cell r="Y872" t="str">
            <v>Single Family Detached</v>
          </cell>
          <cell r="AG872">
            <v>10</v>
          </cell>
          <cell r="AH872">
            <v>6</v>
          </cell>
          <cell r="AJ872">
            <v>0.11526896400321396</v>
          </cell>
          <cell r="AK872" t="str">
            <v>SLR Adjacent</v>
          </cell>
        </row>
        <row r="873">
          <cell r="Y873" t="str">
            <v>Single Family Detached</v>
          </cell>
          <cell r="AG873">
            <v>10</v>
          </cell>
          <cell r="AH873">
            <v>6</v>
          </cell>
          <cell r="AJ873">
            <v>0.11549850100298439</v>
          </cell>
          <cell r="AK873" t="str">
            <v>SLR Adjacent</v>
          </cell>
        </row>
        <row r="874">
          <cell r="Y874" t="str">
            <v>Single Family Detached</v>
          </cell>
          <cell r="AG874">
            <v>10</v>
          </cell>
          <cell r="AH874">
            <v>6</v>
          </cell>
          <cell r="AJ874">
            <v>0.11662341026698805</v>
          </cell>
          <cell r="AK874" t="str">
            <v>SLR Adjacent</v>
          </cell>
        </row>
        <row r="875">
          <cell r="Y875" t="str">
            <v>Single Family Detached</v>
          </cell>
          <cell r="AG875">
            <v>10</v>
          </cell>
          <cell r="AH875">
            <v>6</v>
          </cell>
          <cell r="AJ875">
            <v>0.11445801997176308</v>
          </cell>
          <cell r="AK875" t="str">
            <v>SLR Adjacent</v>
          </cell>
        </row>
        <row r="876">
          <cell r="Y876" t="str">
            <v>Single Family Detached</v>
          </cell>
          <cell r="AG876">
            <v>10</v>
          </cell>
          <cell r="AH876">
            <v>6</v>
          </cell>
          <cell r="AJ876">
            <v>0.11553607071877869</v>
          </cell>
          <cell r="AK876" t="str">
            <v>SLR Adjacent</v>
          </cell>
        </row>
        <row r="877">
          <cell r="Y877" t="str">
            <v>Single Family Detached</v>
          </cell>
          <cell r="AG877">
            <v>10</v>
          </cell>
          <cell r="AH877">
            <v>6</v>
          </cell>
          <cell r="AJ877">
            <v>0.11608415977892561</v>
          </cell>
          <cell r="AK877" t="str">
            <v>SLR Adjacent</v>
          </cell>
        </row>
        <row r="878">
          <cell r="Y878" t="str">
            <v>Single Family Detached</v>
          </cell>
          <cell r="AG878">
            <v>10</v>
          </cell>
          <cell r="AH878">
            <v>6</v>
          </cell>
          <cell r="AJ878">
            <v>0.10232703149885215</v>
          </cell>
          <cell r="AK878" t="str">
            <v>SLR Adjacent</v>
          </cell>
        </row>
        <row r="879">
          <cell r="Y879" t="str">
            <v>Single Family Detached</v>
          </cell>
          <cell r="AG879">
            <v>10</v>
          </cell>
          <cell r="AH879">
            <v>6</v>
          </cell>
          <cell r="AJ879">
            <v>0.11690145330555556</v>
          </cell>
          <cell r="AK879" t="str">
            <v>SLR Adjacent</v>
          </cell>
        </row>
        <row r="880">
          <cell r="Y880" t="str">
            <v>Single Family Detached</v>
          </cell>
          <cell r="AG880">
            <v>10</v>
          </cell>
          <cell r="AH880">
            <v>6</v>
          </cell>
          <cell r="AJ880">
            <v>0.11485887342171718</v>
          </cell>
          <cell r="AK880" t="str">
            <v>SLR Adjacent</v>
          </cell>
        </row>
        <row r="881">
          <cell r="Y881" t="str">
            <v>Single Family Detached</v>
          </cell>
          <cell r="AG881">
            <v>10</v>
          </cell>
          <cell r="AH881">
            <v>6</v>
          </cell>
          <cell r="AJ881">
            <v>5.8745866424471993E-2</v>
          </cell>
          <cell r="AK881" t="str">
            <v>SLR Adjacent</v>
          </cell>
        </row>
        <row r="882">
          <cell r="Y882" t="str">
            <v>Single Family Detached</v>
          </cell>
          <cell r="AG882">
            <v>10</v>
          </cell>
          <cell r="AH882">
            <v>6</v>
          </cell>
          <cell r="AJ882">
            <v>0.1246426516751607</v>
          </cell>
          <cell r="AK882" t="str">
            <v>SLR Adjacent</v>
          </cell>
        </row>
        <row r="883">
          <cell r="Y883" t="str">
            <v>Single Family Detached</v>
          </cell>
          <cell r="AG883">
            <v>10</v>
          </cell>
          <cell r="AH883">
            <v>6</v>
          </cell>
          <cell r="AJ883">
            <v>9.6424583536271813E-2</v>
          </cell>
          <cell r="AK883" t="str">
            <v>SLR Adjacent</v>
          </cell>
        </row>
        <row r="884">
          <cell r="Y884" t="str">
            <v>Single Family Detached</v>
          </cell>
          <cell r="AG884">
            <v>10</v>
          </cell>
          <cell r="AH884">
            <v>6</v>
          </cell>
          <cell r="AJ884">
            <v>0.11264265413544536</v>
          </cell>
          <cell r="AK884" t="str">
            <v>SLR Adjacent</v>
          </cell>
        </row>
        <row r="885">
          <cell r="Y885" t="str">
            <v>Single Family Detached</v>
          </cell>
          <cell r="AG885">
            <v>10</v>
          </cell>
          <cell r="AH885">
            <v>6</v>
          </cell>
          <cell r="AJ885">
            <v>0.11702116563177226</v>
          </cell>
          <cell r="AK885" t="str">
            <v>SLR Adjacent</v>
          </cell>
        </row>
        <row r="886">
          <cell r="Y886" t="str">
            <v>Single Family Detached</v>
          </cell>
          <cell r="AG886">
            <v>10</v>
          </cell>
          <cell r="AH886">
            <v>6</v>
          </cell>
          <cell r="AJ886">
            <v>0.10266912715174471</v>
          </cell>
          <cell r="AK886" t="str">
            <v>SLR Adjacent</v>
          </cell>
        </row>
        <row r="887">
          <cell r="Y887" t="str">
            <v>Single Family Detached</v>
          </cell>
          <cell r="AG887">
            <v>10</v>
          </cell>
          <cell r="AH887">
            <v>6</v>
          </cell>
          <cell r="AJ887">
            <v>0.11515353828879706</v>
          </cell>
          <cell r="AK887" t="str">
            <v>SLR Adjacent</v>
          </cell>
        </row>
        <row r="888">
          <cell r="Y888" t="str">
            <v>Single Family Detached</v>
          </cell>
          <cell r="AG888">
            <v>10</v>
          </cell>
          <cell r="AH888">
            <v>6</v>
          </cell>
          <cell r="AJ888">
            <v>0.13406684301170799</v>
          </cell>
          <cell r="AK888" t="str">
            <v>SLR Adjacent</v>
          </cell>
        </row>
        <row r="889">
          <cell r="Y889" t="str">
            <v>Single Family Detached</v>
          </cell>
          <cell r="AG889">
            <v>10</v>
          </cell>
          <cell r="AH889">
            <v>6</v>
          </cell>
          <cell r="AJ889">
            <v>0.13979399841368229</v>
          </cell>
          <cell r="AK889" t="str">
            <v>SLR Adjacent</v>
          </cell>
        </row>
        <row r="890">
          <cell r="Y890" t="str">
            <v>Single Family Detached</v>
          </cell>
          <cell r="AG890">
            <v>10</v>
          </cell>
          <cell r="AH890">
            <v>6</v>
          </cell>
          <cell r="AJ890">
            <v>0.20854041735146922</v>
          </cell>
          <cell r="AK890" t="str">
            <v>SLR Adjacent</v>
          </cell>
        </row>
        <row r="891">
          <cell r="Y891" t="str">
            <v>Single Family Detached</v>
          </cell>
          <cell r="AG891">
            <v>10</v>
          </cell>
          <cell r="AH891">
            <v>6</v>
          </cell>
          <cell r="AJ891">
            <v>0.14310606342676768</v>
          </cell>
          <cell r="AK891" t="str">
            <v>SLR Adjacent</v>
          </cell>
        </row>
        <row r="892">
          <cell r="Y892" t="str">
            <v>Single Family Detached</v>
          </cell>
          <cell r="AG892">
            <v>10</v>
          </cell>
          <cell r="AH892">
            <v>6</v>
          </cell>
          <cell r="AJ892">
            <v>5.6704182275252528E-2</v>
          </cell>
          <cell r="AK892" t="str">
            <v>SLR Adjacent</v>
          </cell>
        </row>
        <row r="893">
          <cell r="Y893" t="str">
            <v>Single Family Detached</v>
          </cell>
          <cell r="AG893">
            <v>10</v>
          </cell>
          <cell r="AH893">
            <v>6</v>
          </cell>
          <cell r="AJ893">
            <v>0.13576155767539028</v>
          </cell>
          <cell r="AK893" t="str">
            <v>SLR Adjacent</v>
          </cell>
        </row>
        <row r="894">
          <cell r="Y894" t="str">
            <v>Single Family Detached</v>
          </cell>
          <cell r="AG894">
            <v>10</v>
          </cell>
          <cell r="AH894">
            <v>6</v>
          </cell>
          <cell r="AJ894">
            <v>0.11366456253099173</v>
          </cell>
          <cell r="AK894" t="str">
            <v>SLR Adjacent</v>
          </cell>
        </row>
        <row r="895">
          <cell r="Y895" t="str">
            <v>Single Family Detached</v>
          </cell>
          <cell r="AG895">
            <v>10</v>
          </cell>
          <cell r="AH895">
            <v>6</v>
          </cell>
          <cell r="AJ895">
            <v>8.6860220087006432E-2</v>
          </cell>
          <cell r="AK895" t="str">
            <v>SLR Adjacent</v>
          </cell>
        </row>
        <row r="896">
          <cell r="Y896" t="str">
            <v>Single Family Detached</v>
          </cell>
          <cell r="AG896">
            <v>10</v>
          </cell>
          <cell r="AH896">
            <v>6</v>
          </cell>
          <cell r="AJ896">
            <v>8.266750110812672E-2</v>
          </cell>
          <cell r="AK896" t="str">
            <v>SLR Adjacent</v>
          </cell>
        </row>
        <row r="897">
          <cell r="Y897" t="str">
            <v>Single Family Detached</v>
          </cell>
          <cell r="AG897">
            <v>10</v>
          </cell>
          <cell r="AH897">
            <v>6</v>
          </cell>
          <cell r="AJ897">
            <v>0.11712341655509642</v>
          </cell>
          <cell r="AK897" t="str">
            <v>SLR Adjacent</v>
          </cell>
        </row>
        <row r="898">
          <cell r="Y898" t="str">
            <v>Single Family Detached</v>
          </cell>
          <cell r="AG898">
            <v>10</v>
          </cell>
          <cell r="AH898">
            <v>6</v>
          </cell>
          <cell r="AJ898">
            <v>0.11633766502754821</v>
          </cell>
          <cell r="AK898" t="str">
            <v>SLR Adjacent</v>
          </cell>
        </row>
        <row r="899">
          <cell r="Y899" t="str">
            <v>Single Family Detached</v>
          </cell>
          <cell r="AG899">
            <v>10</v>
          </cell>
          <cell r="AH899">
            <v>6</v>
          </cell>
          <cell r="AJ899">
            <v>0.11521631678650138</v>
          </cell>
          <cell r="AK899" t="str">
            <v>SLR Adjacent</v>
          </cell>
        </row>
        <row r="900">
          <cell r="Y900" t="str">
            <v>Single Family Detached</v>
          </cell>
          <cell r="AG900">
            <v>10</v>
          </cell>
          <cell r="AH900">
            <v>6</v>
          </cell>
          <cell r="AJ900">
            <v>0.12102693451331496</v>
          </cell>
          <cell r="AK900" t="str">
            <v>SLR Adjacent</v>
          </cell>
        </row>
        <row r="901">
          <cell r="Y901" t="str">
            <v>Single Family Detached</v>
          </cell>
          <cell r="AG901">
            <v>10</v>
          </cell>
          <cell r="AH901">
            <v>6</v>
          </cell>
          <cell r="AJ901">
            <v>0.15969749543319559</v>
          </cell>
          <cell r="AK901" t="str">
            <v>SLR Adjacent</v>
          </cell>
        </row>
        <row r="902">
          <cell r="Y902" t="str">
            <v>Single Family Detached</v>
          </cell>
          <cell r="AG902">
            <v>10</v>
          </cell>
          <cell r="AH902">
            <v>6</v>
          </cell>
          <cell r="AJ902">
            <v>0.14229901333746556</v>
          </cell>
          <cell r="AK902" t="str">
            <v>SLR Adjacent</v>
          </cell>
        </row>
        <row r="903">
          <cell r="Y903" t="str">
            <v>Single Family Detached</v>
          </cell>
          <cell r="AG903">
            <v>10</v>
          </cell>
          <cell r="AH903">
            <v>6</v>
          </cell>
          <cell r="AJ903">
            <v>0.16402436114876034</v>
          </cell>
          <cell r="AK903" t="str">
            <v>SLR Adjacent</v>
          </cell>
        </row>
        <row r="904">
          <cell r="Y904" t="str">
            <v>Single Family Detached</v>
          </cell>
          <cell r="AG904">
            <v>10</v>
          </cell>
          <cell r="AH904">
            <v>6</v>
          </cell>
          <cell r="AJ904">
            <v>0.15953662532506888</v>
          </cell>
          <cell r="AK904" t="str">
            <v>SLR Adjacent</v>
          </cell>
        </row>
        <row r="905">
          <cell r="Y905" t="str">
            <v>Single Family Detached</v>
          </cell>
          <cell r="AG905">
            <v>10</v>
          </cell>
          <cell r="AH905">
            <v>6</v>
          </cell>
          <cell r="AJ905">
            <v>0.16714423518067034</v>
          </cell>
          <cell r="AK905" t="str">
            <v>SLR Adjacent</v>
          </cell>
        </row>
        <row r="906">
          <cell r="Y906" t="str">
            <v>Single Family Detached</v>
          </cell>
          <cell r="AG906">
            <v>10</v>
          </cell>
          <cell r="AH906">
            <v>6</v>
          </cell>
          <cell r="AJ906">
            <v>0.15535444183838384</v>
          </cell>
          <cell r="AK906" t="str">
            <v>SLR Adjacent</v>
          </cell>
        </row>
        <row r="907">
          <cell r="Y907" t="str">
            <v>Single Family Detached</v>
          </cell>
          <cell r="AG907">
            <v>10</v>
          </cell>
          <cell r="AH907">
            <v>6</v>
          </cell>
          <cell r="AJ907">
            <v>0.12123188316207531</v>
          </cell>
          <cell r="AK907" t="str">
            <v>SLR Adjacent</v>
          </cell>
        </row>
        <row r="908">
          <cell r="Y908" t="str">
            <v>Single Family Detached</v>
          </cell>
          <cell r="AG908">
            <v>10</v>
          </cell>
          <cell r="AH908">
            <v>6</v>
          </cell>
          <cell r="AJ908">
            <v>0.10321612566528925</v>
          </cell>
          <cell r="AK908" t="str">
            <v>SLR Adjacent</v>
          </cell>
        </row>
        <row r="909">
          <cell r="Y909" t="str">
            <v>Single Family Detached</v>
          </cell>
          <cell r="AG909">
            <v>10</v>
          </cell>
          <cell r="AH909">
            <v>6</v>
          </cell>
          <cell r="AJ909">
            <v>0.13043497078902663</v>
          </cell>
          <cell r="AK909" t="str">
            <v>SLR Adjacent</v>
          </cell>
        </row>
        <row r="910">
          <cell r="Y910" t="str">
            <v>Single Family Detached</v>
          </cell>
          <cell r="AG910">
            <v>10</v>
          </cell>
          <cell r="AH910">
            <v>6</v>
          </cell>
          <cell r="AJ910">
            <v>0.11448307576721763</v>
          </cell>
          <cell r="AK910" t="str">
            <v>SLR Adjacent</v>
          </cell>
        </row>
        <row r="911">
          <cell r="Y911" t="str">
            <v>Single Family Detached</v>
          </cell>
          <cell r="AG911">
            <v>10</v>
          </cell>
          <cell r="AH911">
            <v>6</v>
          </cell>
          <cell r="AJ911">
            <v>0.11124654558631773</v>
          </cell>
          <cell r="AK911" t="str">
            <v>SLR Adjacent</v>
          </cell>
        </row>
        <row r="912">
          <cell r="Y912" t="str">
            <v>Single Family Detached</v>
          </cell>
          <cell r="AG912">
            <v>10</v>
          </cell>
          <cell r="AH912">
            <v>6</v>
          </cell>
          <cell r="AJ912">
            <v>9.215059560560146E-2</v>
          </cell>
          <cell r="AK912" t="str">
            <v>SLR Adjacent</v>
          </cell>
        </row>
        <row r="913">
          <cell r="Y913" t="str">
            <v>Single Family Detached</v>
          </cell>
          <cell r="AG913">
            <v>10</v>
          </cell>
          <cell r="AH913">
            <v>6</v>
          </cell>
          <cell r="AJ913">
            <v>9.2731949006198341E-2</v>
          </cell>
          <cell r="AK913" t="str">
            <v>SLR Adjacent</v>
          </cell>
        </row>
        <row r="914">
          <cell r="Y914" t="str">
            <v>Single Family Detached</v>
          </cell>
          <cell r="AG914">
            <v>10</v>
          </cell>
          <cell r="AH914">
            <v>6</v>
          </cell>
          <cell r="AJ914">
            <v>0.11336484359940312</v>
          </cell>
          <cell r="AK914" t="str">
            <v>SLR Adjacent</v>
          </cell>
        </row>
        <row r="915">
          <cell r="Y915" t="str">
            <v>Single Family Detached</v>
          </cell>
          <cell r="AG915">
            <v>10</v>
          </cell>
          <cell r="AH915">
            <v>6</v>
          </cell>
          <cell r="AJ915">
            <v>0.11481635217630853</v>
          </cell>
          <cell r="AK915" t="str">
            <v>SLR Adjacent</v>
          </cell>
        </row>
        <row r="916">
          <cell r="Y916" t="str">
            <v>Single Family Detached</v>
          </cell>
          <cell r="AG916">
            <v>10</v>
          </cell>
          <cell r="AH916">
            <v>6</v>
          </cell>
          <cell r="AJ916">
            <v>0.1147700601060606</v>
          </cell>
          <cell r="AK916" t="str">
            <v>SLR Adjacent</v>
          </cell>
        </row>
        <row r="917">
          <cell r="Y917" t="str">
            <v>Single Family Detached</v>
          </cell>
          <cell r="AG917">
            <v>10</v>
          </cell>
          <cell r="AH917">
            <v>6</v>
          </cell>
          <cell r="AJ917">
            <v>5.5870769116620748E-2</v>
          </cell>
          <cell r="AK917" t="str">
            <v>SLR Adjacent</v>
          </cell>
        </row>
        <row r="918">
          <cell r="Y918" t="str">
            <v>Single Family Detached</v>
          </cell>
          <cell r="AG918">
            <v>10</v>
          </cell>
          <cell r="AH918">
            <v>6</v>
          </cell>
          <cell r="AJ918">
            <v>0.11502373484550045</v>
          </cell>
          <cell r="AK918" t="str">
            <v>SLR Adjacent</v>
          </cell>
        </row>
        <row r="919">
          <cell r="Y919" t="str">
            <v>Single Family Detached</v>
          </cell>
          <cell r="AG919">
            <v>10</v>
          </cell>
          <cell r="AH919">
            <v>6</v>
          </cell>
          <cell r="AJ919">
            <v>0.11394290796533517</v>
          </cell>
          <cell r="AK919" t="str">
            <v>SLR Adjacent</v>
          </cell>
        </row>
        <row r="920">
          <cell r="Y920" t="str">
            <v>Single Family Detached</v>
          </cell>
          <cell r="AG920">
            <v>10</v>
          </cell>
          <cell r="AH920">
            <v>6</v>
          </cell>
          <cell r="AJ920">
            <v>0.11316671110215795</v>
          </cell>
          <cell r="AK920" t="str">
            <v>SLR Adjacent</v>
          </cell>
        </row>
        <row r="921">
          <cell r="Y921" t="str">
            <v>Single Family Detached</v>
          </cell>
          <cell r="AG921">
            <v>10</v>
          </cell>
          <cell r="AH921">
            <v>6</v>
          </cell>
          <cell r="AJ921">
            <v>0.11623490266023875</v>
          </cell>
          <cell r="AK921" t="str">
            <v>SLR Adjacent</v>
          </cell>
        </row>
        <row r="922">
          <cell r="Y922" t="str">
            <v>Single Family Detached</v>
          </cell>
          <cell r="AG922">
            <v>10</v>
          </cell>
          <cell r="AH922">
            <v>6</v>
          </cell>
          <cell r="AJ922">
            <v>0.11093136338406796</v>
          </cell>
          <cell r="AK922" t="str">
            <v>SLR Adjacent</v>
          </cell>
        </row>
        <row r="923">
          <cell r="Y923" t="str">
            <v>Single Family Detached</v>
          </cell>
          <cell r="AG923">
            <v>10</v>
          </cell>
          <cell r="AH923">
            <v>6</v>
          </cell>
          <cell r="AJ923">
            <v>0.11459099798966943</v>
          </cell>
          <cell r="AK923" t="str">
            <v>SLR Adjacent</v>
          </cell>
        </row>
        <row r="924">
          <cell r="Y924" t="str">
            <v>Single Family Detached</v>
          </cell>
          <cell r="AG924">
            <v>10</v>
          </cell>
          <cell r="AH924">
            <v>6</v>
          </cell>
          <cell r="AJ924">
            <v>0.11234630815794307</v>
          </cell>
          <cell r="AK924" t="str">
            <v>SLR Adjacent</v>
          </cell>
        </row>
        <row r="925">
          <cell r="Y925" t="str">
            <v>Single Family Detached</v>
          </cell>
          <cell r="AG925">
            <v>10</v>
          </cell>
          <cell r="AH925">
            <v>6</v>
          </cell>
          <cell r="AJ925">
            <v>5.7235074904958674E-2</v>
          </cell>
          <cell r="AK925" t="str">
            <v>SLR Adjacent</v>
          </cell>
        </row>
        <row r="926">
          <cell r="Y926" t="str">
            <v>Single Family Detached</v>
          </cell>
          <cell r="AG926">
            <v>10</v>
          </cell>
          <cell r="AH926">
            <v>6</v>
          </cell>
          <cell r="AJ926">
            <v>0.11057542625895317</v>
          </cell>
          <cell r="AK926" t="str">
            <v>SLR Adjacent</v>
          </cell>
        </row>
        <row r="927">
          <cell r="Y927" t="str">
            <v>Single Family Detached</v>
          </cell>
          <cell r="AG927">
            <v>10</v>
          </cell>
          <cell r="AH927">
            <v>6</v>
          </cell>
          <cell r="AJ927">
            <v>8.7135923455004594E-2</v>
          </cell>
          <cell r="AK927" t="str">
            <v>SLR Adjacent</v>
          </cell>
        </row>
        <row r="928">
          <cell r="Y928" t="str">
            <v>Vacant, unbuildable</v>
          </cell>
          <cell r="AG928">
            <v>10</v>
          </cell>
          <cell r="AH928">
            <v>6</v>
          </cell>
          <cell r="AJ928">
            <v>4.740726881841139E-2</v>
          </cell>
          <cell r="AK928" t="str">
            <v>SLR Adjacent</v>
          </cell>
        </row>
        <row r="929">
          <cell r="Y929" t="str">
            <v>Single Family Detached</v>
          </cell>
          <cell r="AG929">
            <v>10</v>
          </cell>
          <cell r="AH929">
            <v>6</v>
          </cell>
          <cell r="AJ929">
            <v>9.8789204249311285E-2</v>
          </cell>
          <cell r="AK929" t="str">
            <v>SLR Adjacent</v>
          </cell>
        </row>
        <row r="930">
          <cell r="Y930" t="str">
            <v>Single Family Detached</v>
          </cell>
          <cell r="AG930">
            <v>10</v>
          </cell>
          <cell r="AH930">
            <v>6</v>
          </cell>
          <cell r="AJ930">
            <v>0.11170418928833792</v>
          </cell>
          <cell r="AK930" t="str">
            <v>SLR Adjacent</v>
          </cell>
        </row>
        <row r="931">
          <cell r="Y931" t="str">
            <v>Single Family Detached</v>
          </cell>
          <cell r="AG931">
            <v>10</v>
          </cell>
          <cell r="AH931">
            <v>6</v>
          </cell>
          <cell r="AJ931">
            <v>0.11537643081060606</v>
          </cell>
          <cell r="AK931" t="str">
            <v>SLR Adjacent</v>
          </cell>
        </row>
        <row r="932">
          <cell r="Y932" t="str">
            <v>Single Family Detached</v>
          </cell>
          <cell r="AG932">
            <v>10</v>
          </cell>
          <cell r="AH932">
            <v>6</v>
          </cell>
          <cell r="AJ932">
            <v>0.11365466501331498</v>
          </cell>
          <cell r="AK932" t="str">
            <v>SLR Adjacent</v>
          </cell>
        </row>
        <row r="933">
          <cell r="Y933" t="str">
            <v>Single Family Detached</v>
          </cell>
          <cell r="AG933">
            <v>10</v>
          </cell>
          <cell r="AH933">
            <v>6</v>
          </cell>
          <cell r="AJ933">
            <v>0.11274691156129477</v>
          </cell>
          <cell r="AK933" t="str">
            <v>SLR Adjacent</v>
          </cell>
        </row>
        <row r="934">
          <cell r="Y934" t="str">
            <v>Single Family Detached</v>
          </cell>
          <cell r="AG934">
            <v>10</v>
          </cell>
          <cell r="AH934">
            <v>6</v>
          </cell>
          <cell r="AJ934">
            <v>0.11665484242493114</v>
          </cell>
          <cell r="AK934" t="str">
            <v>SLR Adjacent</v>
          </cell>
        </row>
        <row r="935">
          <cell r="Y935" t="str">
            <v>Single Family Detached</v>
          </cell>
          <cell r="AG935">
            <v>10</v>
          </cell>
          <cell r="AH935">
            <v>6</v>
          </cell>
          <cell r="AJ935">
            <v>0.11385601829292928</v>
          </cell>
          <cell r="AK935" t="str">
            <v>SLR Adjacent</v>
          </cell>
        </row>
        <row r="936">
          <cell r="Y936" t="str">
            <v>Single Family Detached</v>
          </cell>
          <cell r="AG936">
            <v>10</v>
          </cell>
          <cell r="AH936">
            <v>6</v>
          </cell>
          <cell r="AJ936">
            <v>0.11294119663177227</v>
          </cell>
          <cell r="AK936" t="str">
            <v>SLR Adjacent</v>
          </cell>
        </row>
        <row r="937">
          <cell r="Y937" t="str">
            <v>Single Family Detached</v>
          </cell>
          <cell r="AG937">
            <v>10</v>
          </cell>
          <cell r="AH937">
            <v>6</v>
          </cell>
          <cell r="AJ937">
            <v>0.11660837165771351</v>
          </cell>
          <cell r="AK937" t="str">
            <v>SLR Adjacent</v>
          </cell>
        </row>
        <row r="938">
          <cell r="Y938" t="str">
            <v>Single Family Detached</v>
          </cell>
          <cell r="AG938">
            <v>10</v>
          </cell>
          <cell r="AH938">
            <v>6</v>
          </cell>
          <cell r="AJ938">
            <v>0.11482139084802571</v>
          </cell>
          <cell r="AK938" t="str">
            <v>SLR Adjacent</v>
          </cell>
        </row>
        <row r="939">
          <cell r="Y939" t="str">
            <v>Single Family Detached</v>
          </cell>
          <cell r="AG939">
            <v>10</v>
          </cell>
          <cell r="AH939">
            <v>6</v>
          </cell>
          <cell r="AJ939">
            <v>0.11384795015932048</v>
          </cell>
          <cell r="AK939" t="str">
            <v>SLR Adjacent</v>
          </cell>
        </row>
        <row r="940">
          <cell r="Y940" t="str">
            <v>Single Family Detached</v>
          </cell>
          <cell r="AG940">
            <v>10</v>
          </cell>
          <cell r="AH940">
            <v>6</v>
          </cell>
          <cell r="AJ940">
            <v>8.5184855337006427E-2</v>
          </cell>
          <cell r="AK940" t="str">
            <v>SLR Adjacent</v>
          </cell>
        </row>
        <row r="941">
          <cell r="Y941" t="str">
            <v>Single Family Detached</v>
          </cell>
          <cell r="AG941">
            <v>10</v>
          </cell>
          <cell r="AH941">
            <v>6</v>
          </cell>
          <cell r="AJ941">
            <v>1.1247060256680439E-3</v>
          </cell>
          <cell r="AK941" t="str">
            <v>SLR Adjacent</v>
          </cell>
        </row>
        <row r="942">
          <cell r="Y942" t="str">
            <v>Single Family Detached</v>
          </cell>
          <cell r="AG942">
            <v>10</v>
          </cell>
          <cell r="AH942">
            <v>6</v>
          </cell>
          <cell r="AJ942">
            <v>9.9008093829660235E-2</v>
          </cell>
          <cell r="AK942" t="str">
            <v>SLR Adjacent</v>
          </cell>
        </row>
        <row r="943">
          <cell r="Y943" t="str">
            <v>Single Family Detached</v>
          </cell>
          <cell r="AG943">
            <v>10</v>
          </cell>
          <cell r="AH943">
            <v>6</v>
          </cell>
          <cell r="AJ943">
            <v>7.5834722779384758E-2</v>
          </cell>
          <cell r="AK943" t="str">
            <v>SLR Adjacent</v>
          </cell>
        </row>
        <row r="944">
          <cell r="Y944" t="str">
            <v>Single Family Detached</v>
          </cell>
          <cell r="AG944">
            <v>10</v>
          </cell>
          <cell r="AH944">
            <v>6</v>
          </cell>
          <cell r="AJ944">
            <v>0.1112853258567493</v>
          </cell>
          <cell r="AK944" t="str">
            <v>SLR Adjacent</v>
          </cell>
        </row>
        <row r="945">
          <cell r="Y945" t="str">
            <v>Vacant, unbuildable</v>
          </cell>
          <cell r="AG945">
            <v>10</v>
          </cell>
          <cell r="AH945">
            <v>6</v>
          </cell>
          <cell r="AJ945">
            <v>5.8952790493112944E-2</v>
          </cell>
          <cell r="AK945" t="str">
            <v>SLR Adjacent</v>
          </cell>
        </row>
        <row r="946">
          <cell r="Y946" t="str">
            <v>Single Family Detached</v>
          </cell>
          <cell r="AG946">
            <v>10</v>
          </cell>
          <cell r="AH946">
            <v>6</v>
          </cell>
          <cell r="AJ946">
            <v>0.11558918664508724</v>
          </cell>
          <cell r="AK946" t="str">
            <v>SLR Adjacent</v>
          </cell>
        </row>
        <row r="947">
          <cell r="Y947" t="str">
            <v>Single Family Detached</v>
          </cell>
          <cell r="AG947">
            <v>10</v>
          </cell>
          <cell r="AH947">
            <v>6</v>
          </cell>
          <cell r="AJ947">
            <v>5.9167117484848486E-2</v>
          </cell>
          <cell r="AK947" t="str">
            <v>SLR Adjacent</v>
          </cell>
        </row>
        <row r="948">
          <cell r="Y948" t="str">
            <v>Single Family Detached</v>
          </cell>
          <cell r="AG948">
            <v>10</v>
          </cell>
          <cell r="AH948">
            <v>6</v>
          </cell>
          <cell r="AJ948">
            <v>0.12657080170615242</v>
          </cell>
          <cell r="AK948" t="str">
            <v>SLR Adjacent</v>
          </cell>
        </row>
        <row r="949">
          <cell r="Y949" t="str">
            <v>Single Family Detached</v>
          </cell>
          <cell r="AG949">
            <v>10</v>
          </cell>
          <cell r="AH949">
            <v>6</v>
          </cell>
          <cell r="AJ949">
            <v>5.7585577829430669E-2</v>
          </cell>
          <cell r="AK949" t="str">
            <v>SLR Adjacent</v>
          </cell>
        </row>
        <row r="950">
          <cell r="Y950" t="str">
            <v>Single Family Detached</v>
          </cell>
          <cell r="AG950">
            <v>10</v>
          </cell>
          <cell r="AH950">
            <v>6</v>
          </cell>
          <cell r="AJ950">
            <v>0.11517625254522497</v>
          </cell>
          <cell r="AK950" t="str">
            <v>SLR Adjacent</v>
          </cell>
        </row>
        <row r="951">
          <cell r="Y951" t="str">
            <v>Single Family Detached</v>
          </cell>
          <cell r="AG951">
            <v>10</v>
          </cell>
          <cell r="AH951">
            <v>6</v>
          </cell>
          <cell r="AJ951">
            <v>0.10918842767424243</v>
          </cell>
          <cell r="AK951" t="str">
            <v>SLR Adjacent</v>
          </cell>
        </row>
        <row r="952">
          <cell r="Y952" t="str">
            <v>Single Family Detached</v>
          </cell>
          <cell r="AG952">
            <v>10</v>
          </cell>
          <cell r="AH952">
            <v>6</v>
          </cell>
          <cell r="AJ952">
            <v>8.9693438802341596E-2</v>
          </cell>
          <cell r="AK952" t="str">
            <v>SLR Adjacent</v>
          </cell>
        </row>
        <row r="953">
          <cell r="Y953" t="str">
            <v>Single Family Detached</v>
          </cell>
          <cell r="AG953">
            <v>10</v>
          </cell>
          <cell r="AH953">
            <v>6</v>
          </cell>
          <cell r="AJ953">
            <v>5.8772324713728188E-2</v>
          </cell>
          <cell r="AK953" t="str">
            <v>SLR Adjacent</v>
          </cell>
        </row>
        <row r="954">
          <cell r="Y954" t="str">
            <v>Single Family Detached</v>
          </cell>
          <cell r="AG954">
            <v>10</v>
          </cell>
          <cell r="AH954">
            <v>6</v>
          </cell>
          <cell r="AJ954">
            <v>0.12192031174770432</v>
          </cell>
          <cell r="AK954" t="str">
            <v>SLR Adjacent</v>
          </cell>
        </row>
        <row r="955">
          <cell r="Y955" t="str">
            <v>Single Family Detached</v>
          </cell>
          <cell r="AG955">
            <v>10</v>
          </cell>
          <cell r="AH955">
            <v>6</v>
          </cell>
          <cell r="AJ955">
            <v>0.14478003980348944</v>
          </cell>
          <cell r="AK955" t="str">
            <v>SLR Adjacent</v>
          </cell>
        </row>
        <row r="956">
          <cell r="Y956" t="str">
            <v>Single Family Detached</v>
          </cell>
          <cell r="AG956">
            <v>10</v>
          </cell>
          <cell r="AH956">
            <v>6</v>
          </cell>
          <cell r="AJ956">
            <v>0.11529616133516989</v>
          </cell>
          <cell r="AK956" t="str">
            <v>SLR Adjacent</v>
          </cell>
        </row>
        <row r="957">
          <cell r="Y957" t="str">
            <v>Single Family Detached</v>
          </cell>
          <cell r="AG957">
            <v>10</v>
          </cell>
          <cell r="AH957">
            <v>6</v>
          </cell>
          <cell r="AJ957">
            <v>0.11142995751147841</v>
          </cell>
          <cell r="AK957" t="str">
            <v>SLR Adjacent</v>
          </cell>
        </row>
        <row r="958">
          <cell r="Y958" t="str">
            <v>Single Family Detached</v>
          </cell>
          <cell r="AG958">
            <v>10</v>
          </cell>
          <cell r="AH958">
            <v>6</v>
          </cell>
          <cell r="AJ958">
            <v>8.7107383554407711E-2</v>
          </cell>
          <cell r="AK958" t="str">
            <v>SLR Adjacent</v>
          </cell>
        </row>
        <row r="959">
          <cell r="Y959" t="str">
            <v>Single Family Detached</v>
          </cell>
          <cell r="AG959">
            <v>10</v>
          </cell>
          <cell r="AH959">
            <v>6</v>
          </cell>
          <cell r="AJ959">
            <v>8.541877228145088E-2</v>
          </cell>
          <cell r="AK959" t="str">
            <v>SLR Adjacent</v>
          </cell>
        </row>
        <row r="960">
          <cell r="Y960" t="str">
            <v>Single Family Detached</v>
          </cell>
          <cell r="AG960">
            <v>10</v>
          </cell>
          <cell r="AH960">
            <v>6</v>
          </cell>
          <cell r="AJ960">
            <v>5.7697623709366395E-2</v>
          </cell>
          <cell r="AK960" t="str">
            <v>SLR Adjacent</v>
          </cell>
        </row>
        <row r="961">
          <cell r="Y961" t="str">
            <v>Single Family Detached</v>
          </cell>
          <cell r="AG961">
            <v>10</v>
          </cell>
          <cell r="AH961">
            <v>6</v>
          </cell>
          <cell r="AJ961">
            <v>5.8251157368227731E-2</v>
          </cell>
          <cell r="AK961" t="str">
            <v>SLR Adjacent</v>
          </cell>
        </row>
        <row r="962">
          <cell r="Y962" t="str">
            <v>Single Family Detached</v>
          </cell>
          <cell r="AG962">
            <v>10</v>
          </cell>
          <cell r="AH962">
            <v>6</v>
          </cell>
          <cell r="AJ962">
            <v>0.17225598732392103</v>
          </cell>
          <cell r="AK962" t="str">
            <v>SLR Adjacent</v>
          </cell>
        </row>
        <row r="963">
          <cell r="Y963" t="str">
            <v>Single Family Detached</v>
          </cell>
          <cell r="AG963">
            <v>10</v>
          </cell>
          <cell r="AH963">
            <v>6</v>
          </cell>
          <cell r="AJ963">
            <v>0.11331409913108355</v>
          </cell>
          <cell r="AK963" t="str">
            <v>SLR Adjacent</v>
          </cell>
        </row>
        <row r="964">
          <cell r="Y964" t="str">
            <v>Single Family Detached</v>
          </cell>
          <cell r="AG964">
            <v>10</v>
          </cell>
          <cell r="AH964">
            <v>6</v>
          </cell>
          <cell r="AJ964">
            <v>5.9722414783057849E-2</v>
          </cell>
          <cell r="AK964" t="str">
            <v>SLR Adjacent</v>
          </cell>
        </row>
        <row r="965">
          <cell r="Y965" t="str">
            <v>Single Family Detached</v>
          </cell>
          <cell r="AG965">
            <v>10</v>
          </cell>
          <cell r="AH965">
            <v>6</v>
          </cell>
          <cell r="AJ965">
            <v>5.8044219155417812E-2</v>
          </cell>
          <cell r="AK965" t="str">
            <v>SLR Adjacent</v>
          </cell>
        </row>
        <row r="966">
          <cell r="Y966" t="str">
            <v>Single Family Detached</v>
          </cell>
          <cell r="AG966">
            <v>10</v>
          </cell>
          <cell r="AH966">
            <v>6</v>
          </cell>
          <cell r="AJ966">
            <v>5.6249765960973371E-2</v>
          </cell>
          <cell r="AK966" t="str">
            <v>SLR Adjacent</v>
          </cell>
        </row>
        <row r="967">
          <cell r="Y967" t="str">
            <v>Single Family Detached</v>
          </cell>
          <cell r="AG967">
            <v>10</v>
          </cell>
          <cell r="AH967">
            <v>6</v>
          </cell>
          <cell r="AJ967">
            <v>8.6195333049816344E-2</v>
          </cell>
          <cell r="AK967" t="str">
            <v>SLR Adjacent</v>
          </cell>
        </row>
        <row r="968">
          <cell r="Y968" t="str">
            <v>Single Family Detached</v>
          </cell>
          <cell r="AG968">
            <v>10</v>
          </cell>
          <cell r="AH968">
            <v>6</v>
          </cell>
          <cell r="AJ968">
            <v>8.5176751659779615E-2</v>
          </cell>
          <cell r="AK968" t="str">
            <v>SLR Adjacent</v>
          </cell>
        </row>
        <row r="969">
          <cell r="Y969" t="str">
            <v>Single Family Detached</v>
          </cell>
          <cell r="AG969">
            <v>10</v>
          </cell>
          <cell r="AH969">
            <v>6</v>
          </cell>
          <cell r="AJ969">
            <v>9.036746720110192E-2</v>
          </cell>
          <cell r="AK969" t="str">
            <v>SLR Adjacent</v>
          </cell>
        </row>
        <row r="970">
          <cell r="Y970" t="str">
            <v>Single Family Detached</v>
          </cell>
          <cell r="AG970">
            <v>10</v>
          </cell>
          <cell r="AH970">
            <v>6</v>
          </cell>
          <cell r="AJ970">
            <v>0.11541527100596877</v>
          </cell>
          <cell r="AK970" t="str">
            <v>SLR Adjacent</v>
          </cell>
        </row>
        <row r="971">
          <cell r="Y971" t="str">
            <v>Single Family Detached</v>
          </cell>
          <cell r="AG971">
            <v>10</v>
          </cell>
          <cell r="AH971">
            <v>6</v>
          </cell>
          <cell r="AJ971">
            <v>0.11622368840955004</v>
          </cell>
          <cell r="AK971" t="str">
            <v>SLR Adjacent</v>
          </cell>
        </row>
        <row r="972">
          <cell r="Y972" t="str">
            <v>Single Family Detached</v>
          </cell>
          <cell r="AG972">
            <v>10</v>
          </cell>
          <cell r="AH972">
            <v>6</v>
          </cell>
          <cell r="AJ972">
            <v>0.11834374684527089</v>
          </cell>
          <cell r="AK972" t="str">
            <v>SLR Adjacent</v>
          </cell>
        </row>
        <row r="973">
          <cell r="Y973" t="str">
            <v>Single Family Detached</v>
          </cell>
          <cell r="AG973">
            <v>10</v>
          </cell>
          <cell r="AH973">
            <v>6</v>
          </cell>
          <cell r="AJ973">
            <v>5.7593446632460972E-2</v>
          </cell>
          <cell r="AK973" t="str">
            <v>SLR Adjacent</v>
          </cell>
        </row>
        <row r="974">
          <cell r="Y974" t="str">
            <v>Vacant, unbuildable</v>
          </cell>
          <cell r="AG974">
            <v>10</v>
          </cell>
          <cell r="AH974">
            <v>6</v>
          </cell>
          <cell r="AJ974">
            <v>5.8124379199265379E-2</v>
          </cell>
          <cell r="AK974" t="str">
            <v>SLR Adjacent</v>
          </cell>
        </row>
        <row r="975">
          <cell r="Y975" t="str">
            <v>Single Family Detached</v>
          </cell>
          <cell r="AG975">
            <v>10</v>
          </cell>
          <cell r="AH975">
            <v>6</v>
          </cell>
          <cell r="AJ975">
            <v>0.11556972032736455</v>
          </cell>
          <cell r="AK975" t="str">
            <v>SLR Adjacent</v>
          </cell>
        </row>
        <row r="976">
          <cell r="Y976" t="str">
            <v>Single Family Detached</v>
          </cell>
          <cell r="AG976">
            <v>10</v>
          </cell>
          <cell r="AH976">
            <v>6</v>
          </cell>
          <cell r="AJ976">
            <v>0.11279684759779614</v>
          </cell>
          <cell r="AK976" t="str">
            <v>SLR Adjacent</v>
          </cell>
        </row>
        <row r="977">
          <cell r="Y977" t="str">
            <v>Single Family Detached</v>
          </cell>
          <cell r="AG977">
            <v>0</v>
          </cell>
          <cell r="AH977">
            <v>10</v>
          </cell>
          <cell r="AJ977">
            <v>6.9553736021579424E-2</v>
          </cell>
          <cell r="AK977" t="str">
            <v>SLR not in FZ</v>
          </cell>
        </row>
        <row r="978">
          <cell r="Y978" t="str">
            <v>Single Family Detached</v>
          </cell>
          <cell r="AG978">
            <v>0</v>
          </cell>
          <cell r="AH978">
            <v>10</v>
          </cell>
          <cell r="AJ978">
            <v>0.36082063311294765</v>
          </cell>
          <cell r="AK978" t="str">
            <v>SLR not in FZ</v>
          </cell>
        </row>
        <row r="979">
          <cell r="Y979" t="str">
            <v>Single Family Detached</v>
          </cell>
          <cell r="AG979">
            <v>5</v>
          </cell>
          <cell r="AH979">
            <v>10</v>
          </cell>
          <cell r="AJ979">
            <v>4.0857038751606983E-2</v>
          </cell>
          <cell r="AK979" t="str">
            <v>SLR not in FZ</v>
          </cell>
        </row>
        <row r="980">
          <cell r="Y980" t="str">
            <v>Single Family Detached</v>
          </cell>
          <cell r="AG980">
            <v>6</v>
          </cell>
          <cell r="AH980">
            <v>10</v>
          </cell>
          <cell r="AJ980">
            <v>5.1395453598484853E-2</v>
          </cell>
          <cell r="AK980" t="str">
            <v>SLR not in FZ</v>
          </cell>
        </row>
        <row r="981">
          <cell r="Y981" t="str">
            <v>Single Family Detached</v>
          </cell>
          <cell r="AG981">
            <v>3</v>
          </cell>
          <cell r="AH981">
            <v>10</v>
          </cell>
          <cell r="AJ981">
            <v>2.1575550628489442</v>
          </cell>
          <cell r="AK981" t="str">
            <v>SLR not in FZ</v>
          </cell>
        </row>
        <row r="982">
          <cell r="Y982" t="str">
            <v>Single Family Detached</v>
          </cell>
          <cell r="AG982">
            <v>6</v>
          </cell>
          <cell r="AH982">
            <v>10</v>
          </cell>
          <cell r="AJ982">
            <v>0.52440630179522496</v>
          </cell>
          <cell r="AK982" t="str">
            <v>SLR not in FZ</v>
          </cell>
        </row>
        <row r="983">
          <cell r="Y983" t="str">
            <v>Single Family Detached</v>
          </cell>
          <cell r="AG983">
            <v>6</v>
          </cell>
          <cell r="AH983">
            <v>10</v>
          </cell>
          <cell r="AJ983">
            <v>0.18616587889026631</v>
          </cell>
          <cell r="AK983" t="str">
            <v>SLR not in FZ</v>
          </cell>
        </row>
        <row r="984">
          <cell r="Y984" t="str">
            <v>Single Family Detached</v>
          </cell>
          <cell r="AG984">
            <v>0</v>
          </cell>
          <cell r="AH984">
            <v>10</v>
          </cell>
          <cell r="AJ984">
            <v>0.12201041248278238</v>
          </cell>
          <cell r="AK984" t="str">
            <v>SLR not in FZ</v>
          </cell>
        </row>
        <row r="985">
          <cell r="Y985" t="str">
            <v>Single Family Detached</v>
          </cell>
          <cell r="AG985">
            <v>1</v>
          </cell>
          <cell r="AH985">
            <v>10</v>
          </cell>
          <cell r="AJ985">
            <v>0.11979033435881542</v>
          </cell>
          <cell r="AK985" t="str">
            <v>SLR not in FZ</v>
          </cell>
        </row>
        <row r="986">
          <cell r="Y986" t="str">
            <v>Single Family Detached</v>
          </cell>
          <cell r="AG986">
            <v>1</v>
          </cell>
          <cell r="AH986">
            <v>10</v>
          </cell>
          <cell r="AJ986">
            <v>0.12368055941000919</v>
          </cell>
          <cell r="AK986" t="str">
            <v>SLR not in FZ</v>
          </cell>
        </row>
        <row r="987">
          <cell r="Y987" t="str">
            <v>Single Family Vacant</v>
          </cell>
          <cell r="AG987">
            <v>1</v>
          </cell>
          <cell r="AH987">
            <v>10</v>
          </cell>
          <cell r="AJ987">
            <v>0.12080711355394856</v>
          </cell>
          <cell r="AK987" t="str">
            <v>SLR not in FZ</v>
          </cell>
        </row>
        <row r="988">
          <cell r="Y988" t="str">
            <v>Single Family Detached</v>
          </cell>
          <cell r="AG988">
            <v>1</v>
          </cell>
          <cell r="AH988">
            <v>10</v>
          </cell>
          <cell r="AJ988">
            <v>0.11904405141368228</v>
          </cell>
          <cell r="AK988" t="str">
            <v>SLR not in FZ</v>
          </cell>
        </row>
        <row r="989">
          <cell r="Y989" t="str">
            <v>Single Family Detached</v>
          </cell>
          <cell r="AG989">
            <v>1</v>
          </cell>
          <cell r="AH989">
            <v>10</v>
          </cell>
          <cell r="AJ989">
            <v>0.12084501894352617</v>
          </cell>
          <cell r="AK989" t="str">
            <v>SLR not in FZ</v>
          </cell>
        </row>
        <row r="990">
          <cell r="Y990" t="str">
            <v>Single Family Detached</v>
          </cell>
          <cell r="AG990">
            <v>2</v>
          </cell>
          <cell r="AH990">
            <v>10</v>
          </cell>
          <cell r="AJ990">
            <v>0.12065225490289257</v>
          </cell>
          <cell r="AK990" t="str">
            <v>SLR not in FZ</v>
          </cell>
        </row>
        <row r="991">
          <cell r="Y991" t="str">
            <v>Single Family Detached</v>
          </cell>
          <cell r="AG991">
            <v>2</v>
          </cell>
          <cell r="AH991">
            <v>10</v>
          </cell>
          <cell r="AJ991">
            <v>0.11975819745936639</v>
          </cell>
          <cell r="AK991" t="str">
            <v>SLR not in FZ</v>
          </cell>
        </row>
        <row r="992">
          <cell r="Y992" t="str">
            <v>Single Family Detached</v>
          </cell>
          <cell r="AG992">
            <v>2</v>
          </cell>
          <cell r="AH992">
            <v>10</v>
          </cell>
          <cell r="AJ992">
            <v>0.1206283871104224</v>
          </cell>
          <cell r="AK992" t="str">
            <v>SLR not in FZ</v>
          </cell>
        </row>
        <row r="993">
          <cell r="Y993" t="str">
            <v>Single Family Detached</v>
          </cell>
          <cell r="AG993">
            <v>3</v>
          </cell>
          <cell r="AH993">
            <v>10</v>
          </cell>
          <cell r="AJ993">
            <v>0.11876829425275481</v>
          </cell>
          <cell r="AK993" t="str">
            <v>SLR not in FZ</v>
          </cell>
        </row>
        <row r="994">
          <cell r="Y994" t="str">
            <v>Single Family Detached</v>
          </cell>
          <cell r="AG994">
            <v>3</v>
          </cell>
          <cell r="AH994">
            <v>10</v>
          </cell>
          <cell r="AJ994">
            <v>0.12141650053948577</v>
          </cell>
          <cell r="AK994" t="str">
            <v>SLR not in FZ</v>
          </cell>
        </row>
        <row r="995">
          <cell r="Y995" t="str">
            <v>Single Family Detached</v>
          </cell>
          <cell r="AG995">
            <v>3</v>
          </cell>
          <cell r="AH995">
            <v>10</v>
          </cell>
          <cell r="AJ995">
            <v>0.14724462350367309</v>
          </cell>
          <cell r="AK995" t="str">
            <v>SLR not in FZ</v>
          </cell>
        </row>
        <row r="996">
          <cell r="Y996" t="str">
            <v>Single Family Detached</v>
          </cell>
          <cell r="AG996">
            <v>3</v>
          </cell>
          <cell r="AH996">
            <v>10</v>
          </cell>
          <cell r="AJ996">
            <v>0.14107319586386594</v>
          </cell>
          <cell r="AK996" t="str">
            <v>SLR not in FZ</v>
          </cell>
        </row>
        <row r="997">
          <cell r="Y997" t="str">
            <v>Single Family Detached</v>
          </cell>
          <cell r="AG997">
            <v>4</v>
          </cell>
          <cell r="AH997">
            <v>10</v>
          </cell>
          <cell r="AJ997">
            <v>0.15132068974173554</v>
          </cell>
          <cell r="AK997" t="str">
            <v>SLR not in FZ</v>
          </cell>
        </row>
        <row r="998">
          <cell r="Y998" t="str">
            <v>Single Family Detached</v>
          </cell>
          <cell r="AG998">
            <v>5</v>
          </cell>
          <cell r="AH998">
            <v>10</v>
          </cell>
          <cell r="AJ998">
            <v>0.16363366763888887</v>
          </cell>
          <cell r="AK998" t="str">
            <v>SLR not in FZ</v>
          </cell>
        </row>
        <row r="999">
          <cell r="Y999" t="str">
            <v>Single Family Detached</v>
          </cell>
          <cell r="AG999">
            <v>5</v>
          </cell>
          <cell r="AH999">
            <v>10</v>
          </cell>
          <cell r="AJ999">
            <v>0.18579208824219468</v>
          </cell>
          <cell r="AK999" t="str">
            <v>SLR not in FZ</v>
          </cell>
        </row>
        <row r="1000">
          <cell r="Y1000" t="str">
            <v>Single Family Detached</v>
          </cell>
          <cell r="AG1000">
            <v>4</v>
          </cell>
          <cell r="AH1000">
            <v>10</v>
          </cell>
          <cell r="AJ1000">
            <v>0.12551543130234158</v>
          </cell>
          <cell r="AK1000" t="str">
            <v>SLR not in FZ</v>
          </cell>
        </row>
        <row r="1001">
          <cell r="Y1001" t="str">
            <v>Single Family Detached</v>
          </cell>
          <cell r="AG1001">
            <v>4</v>
          </cell>
          <cell r="AH1001">
            <v>10</v>
          </cell>
          <cell r="AJ1001">
            <v>0.15499246523117541</v>
          </cell>
          <cell r="AK1001" t="str">
            <v>SLR not in FZ</v>
          </cell>
        </row>
        <row r="1002">
          <cell r="Y1002" t="str">
            <v>Single Family Detached</v>
          </cell>
          <cell r="AG1002">
            <v>3</v>
          </cell>
          <cell r="AH1002">
            <v>10</v>
          </cell>
          <cell r="AJ1002">
            <v>0.18958582783608816</v>
          </cell>
          <cell r="AK1002" t="str">
            <v>SLR not in FZ</v>
          </cell>
        </row>
        <row r="1003">
          <cell r="Y1003" t="str">
            <v>Single Family Detached</v>
          </cell>
          <cell r="AG1003">
            <v>6</v>
          </cell>
          <cell r="AH1003">
            <v>10</v>
          </cell>
          <cell r="AJ1003">
            <v>0.1652816435195133</v>
          </cell>
          <cell r="AK1003" t="str">
            <v>SLR not in FZ</v>
          </cell>
        </row>
        <row r="1004">
          <cell r="Y1004" t="str">
            <v>Single Family Detached</v>
          </cell>
          <cell r="AG1004">
            <v>5</v>
          </cell>
          <cell r="AH1004">
            <v>10</v>
          </cell>
          <cell r="AJ1004">
            <v>0.13781182672474748</v>
          </cell>
          <cell r="AK1004" t="str">
            <v>SLR not in FZ</v>
          </cell>
        </row>
        <row r="1005">
          <cell r="Y1005" t="str">
            <v>Single Family Vacant</v>
          </cell>
          <cell r="AG1005">
            <v>5</v>
          </cell>
          <cell r="AH1005">
            <v>10</v>
          </cell>
          <cell r="AJ1005">
            <v>0.11524621476928375</v>
          </cell>
          <cell r="AK1005" t="str">
            <v>SLR not in FZ</v>
          </cell>
        </row>
        <row r="1006">
          <cell r="Y1006" t="str">
            <v>Single Family Detached</v>
          </cell>
          <cell r="AG1006">
            <v>5</v>
          </cell>
          <cell r="AH1006">
            <v>10</v>
          </cell>
          <cell r="AJ1006">
            <v>0.11409512293916438</v>
          </cell>
          <cell r="AK1006" t="str">
            <v>SLR not in FZ</v>
          </cell>
        </row>
        <row r="1007">
          <cell r="Y1007" t="str">
            <v>Single Family Detached</v>
          </cell>
          <cell r="AG1007">
            <v>5</v>
          </cell>
          <cell r="AH1007">
            <v>10</v>
          </cell>
          <cell r="AJ1007">
            <v>0.11609727060904501</v>
          </cell>
          <cell r="AK1007" t="str">
            <v>SLR not in FZ</v>
          </cell>
        </row>
        <row r="1008">
          <cell r="Y1008" t="str">
            <v>Single Family Detached</v>
          </cell>
          <cell r="AG1008">
            <v>5</v>
          </cell>
          <cell r="AH1008">
            <v>10</v>
          </cell>
          <cell r="AJ1008">
            <v>0.11484777359687788</v>
          </cell>
          <cell r="AK1008" t="str">
            <v>SLR not in FZ</v>
          </cell>
        </row>
        <row r="1009">
          <cell r="Y1009" t="str">
            <v>Single Family Detached</v>
          </cell>
          <cell r="AG1009">
            <v>5</v>
          </cell>
          <cell r="AH1009">
            <v>10</v>
          </cell>
          <cell r="AJ1009">
            <v>0.11167153688613406</v>
          </cell>
          <cell r="AK1009" t="str">
            <v>SLR not in FZ</v>
          </cell>
        </row>
        <row r="1010">
          <cell r="Y1010" t="str">
            <v>Single Family Detached</v>
          </cell>
          <cell r="AG1010">
            <v>5</v>
          </cell>
          <cell r="AH1010">
            <v>10</v>
          </cell>
          <cell r="AJ1010">
            <v>0.1206741379717631</v>
          </cell>
          <cell r="AK1010" t="str">
            <v>SLR not in FZ</v>
          </cell>
        </row>
        <row r="1011">
          <cell r="Y1011" t="str">
            <v>Single Family Detached</v>
          </cell>
          <cell r="AG1011">
            <v>6</v>
          </cell>
          <cell r="AH1011">
            <v>10</v>
          </cell>
          <cell r="AJ1011">
            <v>0.18693487961639119</v>
          </cell>
          <cell r="AK1011" t="str">
            <v>SLR not in FZ</v>
          </cell>
        </row>
        <row r="1012">
          <cell r="Y1012" t="str">
            <v>Single Family Detached</v>
          </cell>
          <cell r="AG1012">
            <v>6</v>
          </cell>
          <cell r="AH1012">
            <v>10</v>
          </cell>
          <cell r="AJ1012">
            <v>0.13410464694513316</v>
          </cell>
          <cell r="AK1012" t="str">
            <v>SLR not in FZ</v>
          </cell>
        </row>
        <row r="1013">
          <cell r="Y1013" t="str">
            <v>Single Family Detached</v>
          </cell>
          <cell r="AG1013">
            <v>6</v>
          </cell>
          <cell r="AH1013">
            <v>10</v>
          </cell>
          <cell r="AJ1013">
            <v>0.1577171526023875</v>
          </cell>
          <cell r="AK1013" t="str">
            <v>SLR not in FZ</v>
          </cell>
        </row>
        <row r="1014">
          <cell r="Y1014" t="str">
            <v>Single Family Detached</v>
          </cell>
          <cell r="AG1014">
            <v>6</v>
          </cell>
          <cell r="AH1014">
            <v>10</v>
          </cell>
          <cell r="AJ1014">
            <v>0.13282954897038565</v>
          </cell>
          <cell r="AK1014" t="str">
            <v>SLR not in FZ</v>
          </cell>
        </row>
        <row r="1015">
          <cell r="Y1015" t="str">
            <v>Single Family Detached</v>
          </cell>
          <cell r="AG1015">
            <v>6</v>
          </cell>
          <cell r="AH1015">
            <v>10</v>
          </cell>
          <cell r="AJ1015">
            <v>0.14034094438613406</v>
          </cell>
          <cell r="AK1015" t="str">
            <v>SLR not in FZ</v>
          </cell>
        </row>
        <row r="1016">
          <cell r="Y1016" t="str">
            <v>Single Family Detached</v>
          </cell>
          <cell r="AG1016">
            <v>5</v>
          </cell>
          <cell r="AH1016">
            <v>10</v>
          </cell>
          <cell r="AJ1016">
            <v>0.12876830497842057</v>
          </cell>
          <cell r="AK1016" t="str">
            <v>SLR not in FZ</v>
          </cell>
        </row>
        <row r="1017">
          <cell r="Y1017" t="str">
            <v>Single Family Detached</v>
          </cell>
          <cell r="AG1017">
            <v>5</v>
          </cell>
          <cell r="AH1017">
            <v>10</v>
          </cell>
          <cell r="AJ1017">
            <v>0.12833413529338844</v>
          </cell>
          <cell r="AK1017" t="str">
            <v>SLR not in FZ</v>
          </cell>
        </row>
        <row r="1018">
          <cell r="Y1018" t="str">
            <v>Single Family Detached</v>
          </cell>
          <cell r="AG1018">
            <v>5</v>
          </cell>
          <cell r="AH1018">
            <v>10</v>
          </cell>
          <cell r="AJ1018">
            <v>0.11611085535881543</v>
          </cell>
          <cell r="AK1018" t="str">
            <v>SLR not in FZ</v>
          </cell>
        </row>
        <row r="1019">
          <cell r="Y1019" t="str">
            <v>Single Family Detached</v>
          </cell>
          <cell r="AG1019">
            <v>5</v>
          </cell>
          <cell r="AH1019">
            <v>10</v>
          </cell>
          <cell r="AJ1019">
            <v>0.14362397538039487</v>
          </cell>
          <cell r="AK1019" t="str">
            <v>SLR not in FZ</v>
          </cell>
        </row>
        <row r="1020">
          <cell r="Y1020" t="str">
            <v>Single Family Detached</v>
          </cell>
          <cell r="AG1020">
            <v>5</v>
          </cell>
          <cell r="AH1020">
            <v>10</v>
          </cell>
          <cell r="AJ1020">
            <v>0.11963046820477502</v>
          </cell>
          <cell r="AK1020" t="str">
            <v>SLR not in FZ</v>
          </cell>
        </row>
        <row r="1021">
          <cell r="Y1021" t="str">
            <v>Single Family Detached</v>
          </cell>
          <cell r="AG1021">
            <v>5</v>
          </cell>
          <cell r="AH1021">
            <v>10</v>
          </cell>
          <cell r="AJ1021">
            <v>0.11883252727915519</v>
          </cell>
          <cell r="AK1021" t="str">
            <v>SLR not in FZ</v>
          </cell>
        </row>
        <row r="1022">
          <cell r="Y1022" t="str">
            <v>Single Family Detached</v>
          </cell>
          <cell r="AG1022">
            <v>5</v>
          </cell>
          <cell r="AH1022">
            <v>10</v>
          </cell>
          <cell r="AJ1022">
            <v>0.11847955395684114</v>
          </cell>
          <cell r="AK1022" t="str">
            <v>SLR not in FZ</v>
          </cell>
        </row>
        <row r="1023">
          <cell r="Y1023" t="str">
            <v>Single Family Detached</v>
          </cell>
          <cell r="AG1023">
            <v>5</v>
          </cell>
          <cell r="AH1023">
            <v>10</v>
          </cell>
          <cell r="AJ1023">
            <v>0.11793549437419652</v>
          </cell>
          <cell r="AK1023" t="str">
            <v>SLR not in FZ</v>
          </cell>
        </row>
        <row r="1024">
          <cell r="Y1024" t="str">
            <v>Single Family Detached</v>
          </cell>
          <cell r="AG1024">
            <v>5</v>
          </cell>
          <cell r="AH1024">
            <v>10</v>
          </cell>
          <cell r="AJ1024">
            <v>0.11811364682598716</v>
          </cell>
          <cell r="AK1024" t="str">
            <v>SLR not in FZ</v>
          </cell>
        </row>
        <row r="1025">
          <cell r="Y1025" t="str">
            <v>Single Family Detached</v>
          </cell>
          <cell r="AG1025">
            <v>5</v>
          </cell>
          <cell r="AH1025">
            <v>10</v>
          </cell>
          <cell r="AJ1025">
            <v>0.11666670419536272</v>
          </cell>
          <cell r="AK1025" t="str">
            <v>SLR not in FZ</v>
          </cell>
        </row>
        <row r="1026">
          <cell r="Y1026" t="str">
            <v>Single Family Detached</v>
          </cell>
          <cell r="AG1026">
            <v>5</v>
          </cell>
          <cell r="AH1026">
            <v>10</v>
          </cell>
          <cell r="AJ1026">
            <v>0.12301384871648302</v>
          </cell>
          <cell r="AK1026" t="str">
            <v>SLR not in FZ</v>
          </cell>
        </row>
        <row r="1027">
          <cell r="Y1027" t="str">
            <v>Single Family Detached</v>
          </cell>
          <cell r="AG1027">
            <v>5</v>
          </cell>
          <cell r="AH1027">
            <v>10</v>
          </cell>
          <cell r="AJ1027">
            <v>0.15155036888774104</v>
          </cell>
          <cell r="AK1027" t="str">
            <v>SLR not in FZ</v>
          </cell>
        </row>
        <row r="1028">
          <cell r="Y1028" t="str">
            <v>Single Family Detached</v>
          </cell>
          <cell r="AG1028">
            <v>6</v>
          </cell>
          <cell r="AH1028">
            <v>10</v>
          </cell>
          <cell r="AJ1028">
            <v>0.12954407808769514</v>
          </cell>
          <cell r="AK1028" t="str">
            <v>SLR not in FZ</v>
          </cell>
        </row>
        <row r="1029">
          <cell r="Y1029" t="str">
            <v>Single Family Detached</v>
          </cell>
          <cell r="AG1029">
            <v>5</v>
          </cell>
          <cell r="AH1029">
            <v>10</v>
          </cell>
          <cell r="AJ1029">
            <v>0.11982878076446281</v>
          </cell>
          <cell r="AK1029" t="str">
            <v>SLR not in FZ</v>
          </cell>
        </row>
        <row r="1030">
          <cell r="Y1030" t="str">
            <v>Single Family Detached</v>
          </cell>
          <cell r="AG1030">
            <v>5</v>
          </cell>
          <cell r="AH1030">
            <v>10</v>
          </cell>
          <cell r="AJ1030">
            <v>0.11322535400045913</v>
          </cell>
          <cell r="AK1030" t="str">
            <v>SLR not in FZ</v>
          </cell>
        </row>
        <row r="1031">
          <cell r="Y1031" t="str">
            <v>Single Family Detached</v>
          </cell>
          <cell r="AG1031">
            <v>5</v>
          </cell>
          <cell r="AH1031">
            <v>10</v>
          </cell>
          <cell r="AJ1031">
            <v>0.11336160620752984</v>
          </cell>
          <cell r="AK1031" t="str">
            <v>SLR not in FZ</v>
          </cell>
        </row>
        <row r="1032">
          <cell r="Y1032" t="str">
            <v>Single Family Detached</v>
          </cell>
          <cell r="AG1032">
            <v>5</v>
          </cell>
          <cell r="AH1032">
            <v>10</v>
          </cell>
          <cell r="AJ1032">
            <v>0.11325470302938476</v>
          </cell>
          <cell r="AK1032" t="str">
            <v>SLR not in FZ</v>
          </cell>
        </row>
        <row r="1033">
          <cell r="Y1033" t="str">
            <v>Single Family Detached</v>
          </cell>
          <cell r="AG1033">
            <v>5</v>
          </cell>
          <cell r="AH1033">
            <v>10</v>
          </cell>
          <cell r="AJ1033">
            <v>0.14666549955486685</v>
          </cell>
          <cell r="AK1033" t="str">
            <v>SLR not in FZ</v>
          </cell>
        </row>
        <row r="1034">
          <cell r="Y1034" t="str">
            <v>Single Family Detached</v>
          </cell>
          <cell r="AG1034">
            <v>5</v>
          </cell>
          <cell r="AH1034">
            <v>10</v>
          </cell>
          <cell r="AJ1034">
            <v>0.11558794792699725</v>
          </cell>
          <cell r="AK1034" t="str">
            <v>SLR not in FZ</v>
          </cell>
        </row>
        <row r="1035">
          <cell r="Y1035" t="str">
            <v>Single Family Detached</v>
          </cell>
          <cell r="AG1035">
            <v>5</v>
          </cell>
          <cell r="AH1035">
            <v>10</v>
          </cell>
          <cell r="AJ1035">
            <v>0.11728197313429752</v>
          </cell>
          <cell r="AK1035" t="str">
            <v>SLR not in FZ</v>
          </cell>
        </row>
        <row r="1036">
          <cell r="Y1036" t="str">
            <v>Single Family Detached</v>
          </cell>
          <cell r="AG1036">
            <v>5</v>
          </cell>
          <cell r="AH1036">
            <v>10</v>
          </cell>
          <cell r="AJ1036">
            <v>0.12461451675642791</v>
          </cell>
          <cell r="AK1036" t="str">
            <v>SLR not in FZ</v>
          </cell>
        </row>
        <row r="1037">
          <cell r="Y1037" t="str">
            <v>Single Family Detached</v>
          </cell>
          <cell r="AG1037">
            <v>5</v>
          </cell>
          <cell r="AH1037">
            <v>10</v>
          </cell>
          <cell r="AJ1037">
            <v>0.11295068745156106</v>
          </cell>
          <cell r="AK1037" t="str">
            <v>SLR not in FZ</v>
          </cell>
        </row>
        <row r="1038">
          <cell r="Y1038" t="str">
            <v>Single Family Vacant</v>
          </cell>
          <cell r="AG1038">
            <v>5</v>
          </cell>
          <cell r="AH1038">
            <v>10</v>
          </cell>
          <cell r="AJ1038">
            <v>0.12082986921258035</v>
          </cell>
          <cell r="AK1038" t="str">
            <v>SLR not in FZ</v>
          </cell>
        </row>
        <row r="1039">
          <cell r="Y1039" t="str">
            <v>Single Family Detached</v>
          </cell>
          <cell r="AG1039">
            <v>6</v>
          </cell>
          <cell r="AH1039">
            <v>10</v>
          </cell>
          <cell r="AJ1039">
            <v>0.13693114027800735</v>
          </cell>
          <cell r="AK1039" t="str">
            <v>SLR not in FZ</v>
          </cell>
        </row>
        <row r="1040">
          <cell r="Y1040" t="str">
            <v>Single Family Detached</v>
          </cell>
          <cell r="AG1040">
            <v>6</v>
          </cell>
          <cell r="AH1040">
            <v>10</v>
          </cell>
          <cell r="AJ1040">
            <v>0.12990275799977044</v>
          </cell>
          <cell r="AK1040" t="str">
            <v>SLR not in FZ</v>
          </cell>
        </row>
        <row r="1041">
          <cell r="Y1041" t="str">
            <v>Single Family Detached</v>
          </cell>
          <cell r="AG1041">
            <v>6</v>
          </cell>
          <cell r="AH1041">
            <v>10</v>
          </cell>
          <cell r="AJ1041">
            <v>0.1323480871620753</v>
          </cell>
          <cell r="AK1041" t="str">
            <v>SLR not in FZ</v>
          </cell>
        </row>
        <row r="1042">
          <cell r="Y1042" t="str">
            <v>Single Family Detached</v>
          </cell>
          <cell r="AG1042">
            <v>6</v>
          </cell>
          <cell r="AH1042">
            <v>10</v>
          </cell>
          <cell r="AJ1042">
            <v>0.13232983663636363</v>
          </cell>
          <cell r="AK1042" t="str">
            <v>SLR not in FZ</v>
          </cell>
        </row>
        <row r="1043">
          <cell r="Y1043" t="str">
            <v>Single Family Detached</v>
          </cell>
          <cell r="AG1043">
            <v>6</v>
          </cell>
          <cell r="AH1043">
            <v>10</v>
          </cell>
          <cell r="AJ1043">
            <v>0.14126179177226814</v>
          </cell>
          <cell r="AK1043" t="str">
            <v>SLR not in FZ</v>
          </cell>
        </row>
        <row r="1044">
          <cell r="Y1044" t="str">
            <v>Single Family Detached</v>
          </cell>
          <cell r="AG1044">
            <v>6</v>
          </cell>
          <cell r="AH1044">
            <v>10</v>
          </cell>
          <cell r="AJ1044">
            <v>0.16440255982828283</v>
          </cell>
          <cell r="AK1044" t="str">
            <v>SLR not in FZ</v>
          </cell>
        </row>
        <row r="1045">
          <cell r="Y1045" t="str">
            <v>Single Family Detached</v>
          </cell>
          <cell r="AG1045">
            <v>5</v>
          </cell>
          <cell r="AH1045">
            <v>10</v>
          </cell>
          <cell r="AJ1045">
            <v>0.21144064901974288</v>
          </cell>
          <cell r="AK1045" t="str">
            <v>SLR not in FZ</v>
          </cell>
        </row>
        <row r="1046">
          <cell r="Y1046" t="str">
            <v>Single Family Detached</v>
          </cell>
          <cell r="AG1046">
            <v>6</v>
          </cell>
          <cell r="AH1046">
            <v>10</v>
          </cell>
          <cell r="AJ1046">
            <v>0.17163272308769514</v>
          </cell>
          <cell r="AK1046" t="str">
            <v>SLR not in FZ</v>
          </cell>
        </row>
        <row r="1047">
          <cell r="Y1047" t="str">
            <v>Single Family Detached</v>
          </cell>
          <cell r="AG1047">
            <v>6</v>
          </cell>
          <cell r="AH1047">
            <v>10</v>
          </cell>
          <cell r="AJ1047">
            <v>0.14787088732713496</v>
          </cell>
          <cell r="AK1047" t="str">
            <v>SLR not in FZ</v>
          </cell>
        </row>
        <row r="1048">
          <cell r="Y1048" t="str">
            <v>Single Family Detached</v>
          </cell>
          <cell r="AG1048">
            <v>6</v>
          </cell>
          <cell r="AH1048">
            <v>10</v>
          </cell>
          <cell r="AJ1048">
            <v>0.14379867361179982</v>
          </cell>
          <cell r="AK1048" t="str">
            <v>SLR not in FZ</v>
          </cell>
        </row>
        <row r="1049">
          <cell r="Y1049" t="str">
            <v>Single Family Detached</v>
          </cell>
          <cell r="AG1049">
            <v>6</v>
          </cell>
          <cell r="AH1049">
            <v>10</v>
          </cell>
          <cell r="AJ1049">
            <v>0.11901994065105601</v>
          </cell>
          <cell r="AK1049" t="str">
            <v>SLR not in FZ</v>
          </cell>
        </row>
        <row r="1050">
          <cell r="Y1050" t="str">
            <v>Single Family Detached</v>
          </cell>
          <cell r="AG1050">
            <v>6</v>
          </cell>
          <cell r="AH1050">
            <v>10</v>
          </cell>
          <cell r="AJ1050">
            <v>9.7165425352617074E-2</v>
          </cell>
          <cell r="AK1050" t="str">
            <v>SLR not in FZ</v>
          </cell>
        </row>
        <row r="1051">
          <cell r="Y1051" t="str">
            <v>Single Family Detached</v>
          </cell>
          <cell r="AG1051">
            <v>6</v>
          </cell>
          <cell r="AH1051">
            <v>10</v>
          </cell>
          <cell r="AJ1051">
            <v>0.12015096946212121</v>
          </cell>
          <cell r="AK1051" t="str">
            <v>SLR not in FZ</v>
          </cell>
        </row>
        <row r="1052">
          <cell r="Y1052" t="str">
            <v>Single Family Detached</v>
          </cell>
          <cell r="AG1052">
            <v>6</v>
          </cell>
          <cell r="AH1052">
            <v>10</v>
          </cell>
          <cell r="AJ1052">
            <v>0.12618711724770432</v>
          </cell>
          <cell r="AK1052" t="str">
            <v>SLR not in FZ</v>
          </cell>
        </row>
        <row r="1053">
          <cell r="Y1053" t="str">
            <v>Single Family Detached</v>
          </cell>
          <cell r="AG1053">
            <v>4</v>
          </cell>
          <cell r="AH1053">
            <v>3</v>
          </cell>
          <cell r="AJ1053">
            <v>6.1664683830578514E-2</v>
          </cell>
          <cell r="AK1053" t="str">
            <v>SLR not in FZ</v>
          </cell>
        </row>
        <row r="1054">
          <cell r="Y1054" t="str">
            <v>Single Family Detached</v>
          </cell>
          <cell r="AG1054">
            <v>4</v>
          </cell>
          <cell r="AH1054">
            <v>3</v>
          </cell>
          <cell r="AJ1054">
            <v>6.2111625145087238E-2</v>
          </cell>
          <cell r="AK1054" t="str">
            <v>SLR not in FZ</v>
          </cell>
        </row>
        <row r="1055">
          <cell r="Y1055" t="str">
            <v>Single Family Detached</v>
          </cell>
          <cell r="AG1055">
            <v>4</v>
          </cell>
          <cell r="AH1055">
            <v>3</v>
          </cell>
          <cell r="AJ1055">
            <v>6.2167087142102853E-2</v>
          </cell>
          <cell r="AK1055" t="str">
            <v>SLR not in FZ</v>
          </cell>
        </row>
        <row r="1056">
          <cell r="Y1056" t="str">
            <v>Single Family Detached</v>
          </cell>
          <cell r="AG1056">
            <v>4</v>
          </cell>
          <cell r="AH1056">
            <v>3</v>
          </cell>
          <cell r="AJ1056">
            <v>6.1790848627180893E-2</v>
          </cell>
          <cell r="AK1056" t="str">
            <v>SLR not in FZ</v>
          </cell>
        </row>
        <row r="1057">
          <cell r="Y1057" t="str">
            <v>Single Family Detached</v>
          </cell>
          <cell r="AG1057">
            <v>4</v>
          </cell>
          <cell r="AH1057">
            <v>3</v>
          </cell>
          <cell r="AJ1057">
            <v>7.0247336882231406E-2</v>
          </cell>
          <cell r="AK1057" t="str">
            <v>SLR not in FZ</v>
          </cell>
        </row>
        <row r="1058">
          <cell r="Y1058" t="str">
            <v>Single Family Detached</v>
          </cell>
          <cell r="AG1058">
            <v>4</v>
          </cell>
          <cell r="AH1058">
            <v>10</v>
          </cell>
          <cell r="AJ1058">
            <v>7.7738234789944904E-2</v>
          </cell>
          <cell r="AK1058" t="str">
            <v>SLR not in FZ</v>
          </cell>
        </row>
        <row r="1059">
          <cell r="Y1059" t="str">
            <v>Single Family Detached</v>
          </cell>
          <cell r="AG1059">
            <v>6</v>
          </cell>
          <cell r="AH1059">
            <v>10</v>
          </cell>
          <cell r="AJ1059">
            <v>5.7797641342286502E-2</v>
          </cell>
          <cell r="AK1059" t="str">
            <v>SLR not in FZ</v>
          </cell>
        </row>
        <row r="1060">
          <cell r="Y1060" t="str">
            <v>Single Family Detached</v>
          </cell>
          <cell r="AG1060">
            <v>6</v>
          </cell>
          <cell r="AH1060">
            <v>10</v>
          </cell>
          <cell r="AJ1060">
            <v>5.8406299609963276E-2</v>
          </cell>
          <cell r="AK1060" t="str">
            <v>SLR not in FZ</v>
          </cell>
        </row>
        <row r="1061">
          <cell r="Y1061" t="str">
            <v>Single Family Detached</v>
          </cell>
          <cell r="AG1061">
            <v>6</v>
          </cell>
          <cell r="AH1061">
            <v>10</v>
          </cell>
          <cell r="AJ1061">
            <v>5.8406386515840215E-2</v>
          </cell>
          <cell r="AK1061" t="str">
            <v>SLR not in FZ</v>
          </cell>
        </row>
        <row r="1062">
          <cell r="Y1062" t="str">
            <v>Single Family Detached</v>
          </cell>
          <cell r="AG1062">
            <v>6</v>
          </cell>
          <cell r="AH1062">
            <v>10</v>
          </cell>
          <cell r="AJ1062">
            <v>5.8407852850780533E-2</v>
          </cell>
          <cell r="AK1062" t="str">
            <v>SLR not in FZ</v>
          </cell>
        </row>
        <row r="1063">
          <cell r="Y1063" t="str">
            <v>Single Family Detached</v>
          </cell>
          <cell r="AG1063">
            <v>6</v>
          </cell>
          <cell r="AH1063">
            <v>10</v>
          </cell>
          <cell r="AJ1063">
            <v>5.8407478508723604E-2</v>
          </cell>
          <cell r="AK1063" t="str">
            <v>SLR not in FZ</v>
          </cell>
        </row>
        <row r="1064">
          <cell r="Y1064" t="str">
            <v>Single Family Detached</v>
          </cell>
          <cell r="AG1064">
            <v>6</v>
          </cell>
          <cell r="AH1064">
            <v>10</v>
          </cell>
          <cell r="AJ1064">
            <v>5.8410579089761244E-2</v>
          </cell>
          <cell r="AK1064" t="str">
            <v>SLR not in FZ</v>
          </cell>
        </row>
        <row r="1065">
          <cell r="Y1065" t="str">
            <v>Single Family Detached</v>
          </cell>
          <cell r="AG1065">
            <v>6</v>
          </cell>
          <cell r="AH1065">
            <v>10</v>
          </cell>
          <cell r="AJ1065">
            <v>6.0609275869834708E-2</v>
          </cell>
          <cell r="AK1065" t="str">
            <v>SLR not in FZ</v>
          </cell>
        </row>
        <row r="1066">
          <cell r="Y1066" t="str">
            <v>Single Family Detached</v>
          </cell>
          <cell r="AG1066">
            <v>6</v>
          </cell>
          <cell r="AH1066">
            <v>10</v>
          </cell>
          <cell r="AJ1066">
            <v>6.2352333307162534E-2</v>
          </cell>
          <cell r="AK1066" t="str">
            <v>SLR not in FZ</v>
          </cell>
        </row>
        <row r="1067">
          <cell r="Y1067" t="str">
            <v>Single Family Detached</v>
          </cell>
          <cell r="AG1067">
            <v>5</v>
          </cell>
          <cell r="AH1067">
            <v>10</v>
          </cell>
          <cell r="AJ1067">
            <v>5.8620426806932961E-2</v>
          </cell>
          <cell r="AK1067" t="str">
            <v>SLR not in FZ</v>
          </cell>
        </row>
        <row r="1068">
          <cell r="Y1068" t="str">
            <v>Single Family Detached</v>
          </cell>
          <cell r="AG1068">
            <v>6</v>
          </cell>
          <cell r="AH1068">
            <v>10</v>
          </cell>
          <cell r="AJ1068">
            <v>5.8216411820936641E-2</v>
          </cell>
          <cell r="AK1068" t="str">
            <v>SLR not in FZ</v>
          </cell>
        </row>
        <row r="1069">
          <cell r="Y1069" t="str">
            <v>Single Family Vacant</v>
          </cell>
          <cell r="AG1069">
            <v>6</v>
          </cell>
          <cell r="AH1069">
            <v>10</v>
          </cell>
          <cell r="AJ1069">
            <v>5.7813468854683192E-2</v>
          </cell>
          <cell r="AK1069" t="str">
            <v>SLR not in FZ</v>
          </cell>
        </row>
        <row r="1070">
          <cell r="Y1070" t="str">
            <v>Single Family Detached</v>
          </cell>
          <cell r="AG1070">
            <v>6</v>
          </cell>
          <cell r="AH1070">
            <v>10</v>
          </cell>
          <cell r="AJ1070">
            <v>5.6914040128099169E-2</v>
          </cell>
          <cell r="AK1070" t="str">
            <v>SLR not in FZ</v>
          </cell>
        </row>
        <row r="1071">
          <cell r="Y1071" t="str">
            <v>Single Family Detached</v>
          </cell>
          <cell r="AG1071">
            <v>6</v>
          </cell>
          <cell r="AH1071">
            <v>10</v>
          </cell>
          <cell r="AJ1071">
            <v>5.3162044635904501E-2</v>
          </cell>
          <cell r="AK1071" t="str">
            <v>SLR not in FZ</v>
          </cell>
        </row>
        <row r="1072">
          <cell r="Y1072" t="str">
            <v>Single Family Detached</v>
          </cell>
          <cell r="AG1072">
            <v>5</v>
          </cell>
          <cell r="AH1072">
            <v>10</v>
          </cell>
          <cell r="AJ1072">
            <v>6.1879631357897154E-2</v>
          </cell>
          <cell r="AK1072" t="str">
            <v>SLR not in FZ</v>
          </cell>
        </row>
        <row r="1073">
          <cell r="Y1073" t="str">
            <v>Single Family Detached</v>
          </cell>
          <cell r="AG1073">
            <v>6</v>
          </cell>
          <cell r="AH1073">
            <v>10</v>
          </cell>
          <cell r="AJ1073">
            <v>5.8815566079660236E-2</v>
          </cell>
          <cell r="AK1073" t="str">
            <v>SLR not in FZ</v>
          </cell>
        </row>
        <row r="1074">
          <cell r="Y1074" t="str">
            <v>Single Family Detached</v>
          </cell>
          <cell r="AG1074">
            <v>4</v>
          </cell>
          <cell r="AH1074">
            <v>10</v>
          </cell>
          <cell r="AJ1074">
            <v>6.3422018738751154E-2</v>
          </cell>
          <cell r="AK1074" t="str">
            <v>SLR not in FZ</v>
          </cell>
        </row>
        <row r="1075">
          <cell r="Y1075" t="str">
            <v>Single Family Detached</v>
          </cell>
          <cell r="AG1075">
            <v>6</v>
          </cell>
          <cell r="AH1075">
            <v>10</v>
          </cell>
          <cell r="AJ1075">
            <v>6.2346682001377406E-2</v>
          </cell>
          <cell r="AK1075" t="str">
            <v>SLR not in FZ</v>
          </cell>
        </row>
        <row r="1076">
          <cell r="Y1076" t="str">
            <v>Single Family Detached</v>
          </cell>
          <cell r="AG1076">
            <v>6</v>
          </cell>
          <cell r="AH1076">
            <v>10</v>
          </cell>
          <cell r="AJ1076">
            <v>6.275265601078972E-2</v>
          </cell>
          <cell r="AK1076" t="str">
            <v>SLR not in FZ</v>
          </cell>
        </row>
        <row r="1077">
          <cell r="Y1077" t="str">
            <v>Single Family Detached</v>
          </cell>
          <cell r="AG1077">
            <v>6</v>
          </cell>
          <cell r="AH1077">
            <v>10</v>
          </cell>
          <cell r="AJ1077">
            <v>8.2657877950872358E-2</v>
          </cell>
          <cell r="AK1077" t="str">
            <v>SLR not in FZ</v>
          </cell>
        </row>
        <row r="1078">
          <cell r="Y1078" t="str">
            <v>Single Family Detached</v>
          </cell>
          <cell r="AG1078">
            <v>6</v>
          </cell>
          <cell r="AH1078">
            <v>10</v>
          </cell>
          <cell r="AJ1078">
            <v>6.0233517204315884E-2</v>
          </cell>
          <cell r="AK1078" t="str">
            <v>SLR not in FZ</v>
          </cell>
        </row>
        <row r="1079">
          <cell r="Y1079" t="str">
            <v>Single Family Detached</v>
          </cell>
          <cell r="AG1079">
            <v>6</v>
          </cell>
          <cell r="AH1079">
            <v>10</v>
          </cell>
          <cell r="AJ1079">
            <v>6.0315692907943065E-2</v>
          </cell>
          <cell r="AK1079" t="str">
            <v>SLR not in FZ</v>
          </cell>
        </row>
        <row r="1080">
          <cell r="Y1080" t="str">
            <v>Single Family Vacant</v>
          </cell>
          <cell r="AG1080">
            <v>6</v>
          </cell>
          <cell r="AH1080">
            <v>10</v>
          </cell>
          <cell r="AJ1080">
            <v>6.0413636584710745E-2</v>
          </cell>
          <cell r="AK1080" t="str">
            <v>SLR not in FZ</v>
          </cell>
        </row>
        <row r="1081">
          <cell r="Y1081" t="str">
            <v>Single Family Detached</v>
          </cell>
          <cell r="AG1081">
            <v>6</v>
          </cell>
          <cell r="AH1081">
            <v>10</v>
          </cell>
          <cell r="AJ1081">
            <v>6.0590484129706156E-2</v>
          </cell>
          <cell r="AK1081" t="str">
            <v>SLR not in FZ</v>
          </cell>
        </row>
        <row r="1082">
          <cell r="Y1082" t="str">
            <v>Single Family Detached</v>
          </cell>
          <cell r="AG1082">
            <v>6</v>
          </cell>
          <cell r="AH1082">
            <v>10</v>
          </cell>
          <cell r="AJ1082">
            <v>6.2596953122359966E-2</v>
          </cell>
          <cell r="AK1082" t="str">
            <v>SLR not in FZ</v>
          </cell>
        </row>
        <row r="1083">
          <cell r="Y1083" t="str">
            <v>Single Family Detached</v>
          </cell>
          <cell r="AG1083">
            <v>6</v>
          </cell>
          <cell r="AH1083">
            <v>10</v>
          </cell>
          <cell r="AJ1083">
            <v>6.1103012106978882E-2</v>
          </cell>
          <cell r="AK1083" t="str">
            <v>SLR not in FZ</v>
          </cell>
        </row>
        <row r="1084">
          <cell r="Y1084" t="str">
            <v>Single Family Detached</v>
          </cell>
          <cell r="AG1084">
            <v>6</v>
          </cell>
          <cell r="AH1084">
            <v>10</v>
          </cell>
          <cell r="AJ1084">
            <v>5.8409378100550961E-2</v>
          </cell>
          <cell r="AK1084" t="str">
            <v>SLR not in FZ</v>
          </cell>
        </row>
        <row r="1085">
          <cell r="Y1085" t="str">
            <v>Single Family Detached</v>
          </cell>
          <cell r="AG1085">
            <v>6</v>
          </cell>
          <cell r="AH1085">
            <v>10</v>
          </cell>
          <cell r="AJ1085">
            <v>6.5191262258953178E-2</v>
          </cell>
          <cell r="AK1085" t="str">
            <v>SLR not in FZ</v>
          </cell>
        </row>
        <row r="1086">
          <cell r="Y1086" t="str">
            <v>Single Family Detached</v>
          </cell>
          <cell r="AG1086">
            <v>6</v>
          </cell>
          <cell r="AH1086">
            <v>10</v>
          </cell>
          <cell r="AJ1086">
            <v>6.1471792044995408E-2</v>
          </cell>
          <cell r="AK1086" t="str">
            <v>SLR not in FZ</v>
          </cell>
        </row>
        <row r="1087">
          <cell r="Y1087" t="str">
            <v>Single Family Detached</v>
          </cell>
          <cell r="AG1087">
            <v>6</v>
          </cell>
          <cell r="AH1087">
            <v>10</v>
          </cell>
          <cell r="AJ1087">
            <v>9.238734318434344E-2</v>
          </cell>
          <cell r="AK1087" t="str">
            <v>SLR not in FZ</v>
          </cell>
        </row>
        <row r="1088">
          <cell r="Y1088" t="str">
            <v>Single Family Detached</v>
          </cell>
          <cell r="AG1088">
            <v>6</v>
          </cell>
          <cell r="AH1088">
            <v>10</v>
          </cell>
          <cell r="AJ1088">
            <v>7.3847139503443529E-2</v>
          </cell>
          <cell r="AK1088" t="str">
            <v>SLR not in FZ</v>
          </cell>
        </row>
        <row r="1089">
          <cell r="Y1089" t="str">
            <v>Single Family Detached</v>
          </cell>
          <cell r="AG1089">
            <v>6</v>
          </cell>
          <cell r="AH1089">
            <v>10</v>
          </cell>
          <cell r="AJ1089">
            <v>6.9742447991965106E-2</v>
          </cell>
          <cell r="AK1089" t="str">
            <v>SLR not in FZ</v>
          </cell>
        </row>
        <row r="1090">
          <cell r="Y1090" t="str">
            <v>Single Family Detached</v>
          </cell>
          <cell r="AG1090">
            <v>6</v>
          </cell>
          <cell r="AH1090">
            <v>10</v>
          </cell>
          <cell r="AJ1090">
            <v>6.5238274900596874E-2</v>
          </cell>
          <cell r="AK1090" t="str">
            <v>SLR not in FZ</v>
          </cell>
        </row>
        <row r="1091">
          <cell r="Y1091" t="str">
            <v>Single Family Detached</v>
          </cell>
          <cell r="AG1091">
            <v>6</v>
          </cell>
          <cell r="AH1091">
            <v>10</v>
          </cell>
          <cell r="AJ1091">
            <v>6.09221389513315E-2</v>
          </cell>
          <cell r="AK1091" t="str">
            <v>SLR not in FZ</v>
          </cell>
        </row>
        <row r="1092">
          <cell r="Y1092" t="str">
            <v>Vacant, unbuildable</v>
          </cell>
          <cell r="AG1092">
            <v>6</v>
          </cell>
          <cell r="AH1092">
            <v>10</v>
          </cell>
          <cell r="AJ1092">
            <v>6.0921536373048674E-2</v>
          </cell>
          <cell r="AK1092" t="str">
            <v>SLR not in FZ</v>
          </cell>
        </row>
        <row r="1093">
          <cell r="Y1093" t="str">
            <v>Single Family Detached</v>
          </cell>
          <cell r="AG1093">
            <v>6</v>
          </cell>
          <cell r="AH1093">
            <v>10</v>
          </cell>
          <cell r="AJ1093">
            <v>0.12986953246464644</v>
          </cell>
          <cell r="AK1093" t="str">
            <v>SLR not in FZ</v>
          </cell>
        </row>
        <row r="1094">
          <cell r="Y1094" t="str">
            <v>Single Family Detached</v>
          </cell>
          <cell r="AG1094">
            <v>6</v>
          </cell>
          <cell r="AH1094">
            <v>10</v>
          </cell>
          <cell r="AJ1094">
            <v>0.11486114900711662</v>
          </cell>
          <cell r="AK1094" t="str">
            <v>SLR not in FZ</v>
          </cell>
        </row>
        <row r="1095">
          <cell r="Y1095" t="str">
            <v>Single Family Detached</v>
          </cell>
          <cell r="AG1095">
            <v>5</v>
          </cell>
          <cell r="AH1095">
            <v>10</v>
          </cell>
          <cell r="AJ1095">
            <v>8.2549134688016529E-2</v>
          </cell>
          <cell r="AK1095" t="str">
            <v>SLR not in FZ</v>
          </cell>
        </row>
        <row r="1096">
          <cell r="Y1096" t="str">
            <v>Single Family Detached</v>
          </cell>
          <cell r="AG1096">
            <v>6</v>
          </cell>
          <cell r="AH1096">
            <v>10</v>
          </cell>
          <cell r="AJ1096">
            <v>6.6520879682506889E-2</v>
          </cell>
          <cell r="AK1096" t="str">
            <v>SLR not in FZ</v>
          </cell>
        </row>
        <row r="1097">
          <cell r="Y1097" t="str">
            <v>Single Family Detached</v>
          </cell>
          <cell r="AG1097">
            <v>6</v>
          </cell>
          <cell r="AH1097">
            <v>10</v>
          </cell>
          <cell r="AJ1097">
            <v>0.12675591985215795</v>
          </cell>
          <cell r="AK1097" t="str">
            <v>SLR not in FZ</v>
          </cell>
        </row>
        <row r="1098">
          <cell r="Y1098" t="str">
            <v>Single Family Detached</v>
          </cell>
          <cell r="AG1098">
            <v>5</v>
          </cell>
          <cell r="AH1098">
            <v>10</v>
          </cell>
          <cell r="AJ1098">
            <v>0.14350345278122129</v>
          </cell>
          <cell r="AK1098" t="str">
            <v>SLR not in FZ</v>
          </cell>
        </row>
        <row r="1099">
          <cell r="Y1099" t="str">
            <v>Single Family Detached</v>
          </cell>
          <cell r="AG1099">
            <v>5</v>
          </cell>
          <cell r="AH1099">
            <v>10</v>
          </cell>
          <cell r="AJ1099">
            <v>8.4116288335399442E-2</v>
          </cell>
          <cell r="AK1099" t="str">
            <v>SLR not in FZ</v>
          </cell>
        </row>
        <row r="1100">
          <cell r="Y1100" t="str">
            <v>Single Family Detached</v>
          </cell>
          <cell r="AG1100">
            <v>5</v>
          </cell>
          <cell r="AH1100">
            <v>10</v>
          </cell>
          <cell r="AJ1100">
            <v>9.0738743059687793E-2</v>
          </cell>
          <cell r="AK1100" t="str">
            <v>SLR not in FZ</v>
          </cell>
        </row>
        <row r="1101">
          <cell r="Y1101" t="str">
            <v>Single Family Detached</v>
          </cell>
          <cell r="AG1101">
            <v>5</v>
          </cell>
          <cell r="AH1101">
            <v>10</v>
          </cell>
          <cell r="AJ1101">
            <v>5.8860664730716258E-2</v>
          </cell>
          <cell r="AK1101" t="str">
            <v>SLR not in FZ</v>
          </cell>
        </row>
        <row r="1102">
          <cell r="Y1102" t="str">
            <v>Single Family Vacant</v>
          </cell>
          <cell r="AG1102">
            <v>6</v>
          </cell>
          <cell r="AH1102">
            <v>10</v>
          </cell>
          <cell r="AJ1102">
            <v>0.16602233209710743</v>
          </cell>
          <cell r="AK1102" t="str">
            <v>SLR not in FZ</v>
          </cell>
        </row>
        <row r="1103">
          <cell r="Y1103" t="str">
            <v>Single Family Detached</v>
          </cell>
          <cell r="AG1103">
            <v>4</v>
          </cell>
          <cell r="AH1103">
            <v>10</v>
          </cell>
          <cell r="AJ1103">
            <v>2.238083061730946E-3</v>
          </cell>
          <cell r="AK1103" t="str">
            <v>SLR not in FZ</v>
          </cell>
        </row>
        <row r="1104">
          <cell r="Y1104" t="str">
            <v>Single Family Detached</v>
          </cell>
          <cell r="AG1104">
            <v>5</v>
          </cell>
          <cell r="AH1104">
            <v>10</v>
          </cell>
          <cell r="AJ1104">
            <v>0.11337728057254362</v>
          </cell>
          <cell r="AK1104" t="str">
            <v>SLR not in FZ</v>
          </cell>
        </row>
        <row r="1105">
          <cell r="Y1105" t="str">
            <v>Single Family Detached</v>
          </cell>
          <cell r="AG1105">
            <v>5</v>
          </cell>
          <cell r="AH1105">
            <v>10</v>
          </cell>
          <cell r="AJ1105">
            <v>5.9399069820477497E-2</v>
          </cell>
          <cell r="AK1105" t="str">
            <v>SLR not in FZ</v>
          </cell>
        </row>
        <row r="1106">
          <cell r="Y1106" t="str">
            <v>Single Family Detached</v>
          </cell>
          <cell r="AG1106">
            <v>5</v>
          </cell>
          <cell r="AH1106">
            <v>10</v>
          </cell>
          <cell r="AJ1106">
            <v>6.3468903938705232E-2</v>
          </cell>
          <cell r="AK1106" t="str">
            <v>SLR not in FZ</v>
          </cell>
        </row>
        <row r="1107">
          <cell r="Y1107" t="str">
            <v>Single Family Detached</v>
          </cell>
          <cell r="AG1107">
            <v>5</v>
          </cell>
          <cell r="AH1107">
            <v>10</v>
          </cell>
          <cell r="AJ1107">
            <v>0.1276217440123967</v>
          </cell>
          <cell r="AK1107" t="str">
            <v>SLR not in FZ</v>
          </cell>
        </row>
        <row r="1108">
          <cell r="Y1108" t="str">
            <v>Single Family Detached</v>
          </cell>
          <cell r="AG1108">
            <v>5</v>
          </cell>
          <cell r="AH1108">
            <v>10</v>
          </cell>
          <cell r="AJ1108">
            <v>0.1010738368916437</v>
          </cell>
          <cell r="AK1108" t="str">
            <v>SLR not in FZ</v>
          </cell>
        </row>
        <row r="1109">
          <cell r="Y1109" t="str">
            <v>Single Family Detached</v>
          </cell>
          <cell r="AG1109">
            <v>5</v>
          </cell>
          <cell r="AH1109">
            <v>10</v>
          </cell>
          <cell r="AJ1109">
            <v>0.13007279242470157</v>
          </cell>
          <cell r="AK1109" t="str">
            <v>SLR not in FZ</v>
          </cell>
        </row>
        <row r="1110">
          <cell r="Y1110" t="str">
            <v>Single Family Detached</v>
          </cell>
          <cell r="AG1110">
            <v>6</v>
          </cell>
          <cell r="AH1110">
            <v>10</v>
          </cell>
          <cell r="AJ1110">
            <v>0.13019747987626262</v>
          </cell>
          <cell r="AK1110" t="str">
            <v>SLR not in FZ</v>
          </cell>
        </row>
        <row r="1111">
          <cell r="Y1111" t="str">
            <v>Single Family Detached</v>
          </cell>
          <cell r="AG1111">
            <v>5</v>
          </cell>
          <cell r="AH1111">
            <v>10</v>
          </cell>
          <cell r="AJ1111">
            <v>8.5304780728879703E-2</v>
          </cell>
          <cell r="AK1111" t="str">
            <v>SLR not in FZ</v>
          </cell>
        </row>
        <row r="1112">
          <cell r="Y1112" t="str">
            <v>Single Family Vacant</v>
          </cell>
          <cell r="AG1112">
            <v>5</v>
          </cell>
          <cell r="AH1112">
            <v>10</v>
          </cell>
          <cell r="AJ1112">
            <v>8.6292782112947664E-2</v>
          </cell>
          <cell r="AK1112" t="str">
            <v>SLR not in FZ</v>
          </cell>
        </row>
        <row r="1113">
          <cell r="Y1113" t="str">
            <v>Single Family Detached</v>
          </cell>
          <cell r="AG1113">
            <v>5</v>
          </cell>
          <cell r="AH1113">
            <v>10</v>
          </cell>
          <cell r="AJ1113">
            <v>8.366861793411387E-2</v>
          </cell>
          <cell r="AK1113" t="str">
            <v>SLR not in FZ</v>
          </cell>
        </row>
        <row r="1114">
          <cell r="Y1114" t="str">
            <v>Single Family Detached</v>
          </cell>
          <cell r="AG1114">
            <v>6</v>
          </cell>
          <cell r="AH1114">
            <v>10</v>
          </cell>
          <cell r="AJ1114">
            <v>8.7447405410697884E-2</v>
          </cell>
          <cell r="AK1114" t="str">
            <v>SLR not in FZ</v>
          </cell>
        </row>
        <row r="1115">
          <cell r="Y1115" t="str">
            <v>Single Family Detached</v>
          </cell>
          <cell r="AG1115">
            <v>6</v>
          </cell>
          <cell r="AH1115">
            <v>10</v>
          </cell>
          <cell r="AJ1115">
            <v>0.10989787418480257</v>
          </cell>
          <cell r="AK1115" t="str">
            <v>SLR not in FZ</v>
          </cell>
        </row>
        <row r="1116">
          <cell r="Y1116" t="str">
            <v>Single Family Detached</v>
          </cell>
          <cell r="AG1116">
            <v>6</v>
          </cell>
          <cell r="AH1116">
            <v>10</v>
          </cell>
          <cell r="AJ1116">
            <v>6.5337907599403125E-2</v>
          </cell>
          <cell r="AK1116" t="str">
            <v>SLR not in FZ</v>
          </cell>
        </row>
        <row r="1117">
          <cell r="Y1117" t="str">
            <v>Single Family Detached</v>
          </cell>
          <cell r="AG1117">
            <v>6</v>
          </cell>
          <cell r="AH1117">
            <v>10</v>
          </cell>
          <cell r="AJ1117">
            <v>6.1950197717171716E-2</v>
          </cell>
          <cell r="AK1117" t="str">
            <v>SLR not in FZ</v>
          </cell>
        </row>
        <row r="1118">
          <cell r="Y1118" t="str">
            <v>Single Family Detached</v>
          </cell>
          <cell r="AG1118">
            <v>6</v>
          </cell>
          <cell r="AH1118">
            <v>10</v>
          </cell>
          <cell r="AJ1118">
            <v>6.2364318553948576E-2</v>
          </cell>
          <cell r="AK1118" t="str">
            <v>SLR not in FZ</v>
          </cell>
        </row>
        <row r="1119">
          <cell r="Y1119" t="str">
            <v>Single Family Detached</v>
          </cell>
          <cell r="AG1119">
            <v>6</v>
          </cell>
          <cell r="AH1119">
            <v>10</v>
          </cell>
          <cell r="AJ1119">
            <v>6.5273355632001831E-2</v>
          </cell>
          <cell r="AK1119" t="str">
            <v>SLR not in FZ</v>
          </cell>
        </row>
        <row r="1120">
          <cell r="Y1120" t="str">
            <v>Single Family Detached</v>
          </cell>
          <cell r="AG1120">
            <v>6</v>
          </cell>
          <cell r="AH1120">
            <v>10</v>
          </cell>
          <cell r="AJ1120">
            <v>6.1776600691230484E-2</v>
          </cell>
          <cell r="AK1120" t="str">
            <v>SLR not in FZ</v>
          </cell>
        </row>
        <row r="1121">
          <cell r="Y1121" t="str">
            <v>Single Family Detached</v>
          </cell>
          <cell r="AG1121">
            <v>6</v>
          </cell>
          <cell r="AH1121">
            <v>10</v>
          </cell>
          <cell r="AJ1121">
            <v>6.4181909239210286E-2</v>
          </cell>
          <cell r="AK1121" t="str">
            <v>SLR not in FZ</v>
          </cell>
        </row>
        <row r="1122">
          <cell r="Y1122" t="str">
            <v>Single Family Detached</v>
          </cell>
          <cell r="AG1122">
            <v>6</v>
          </cell>
          <cell r="AH1122">
            <v>10</v>
          </cell>
          <cell r="AJ1122">
            <v>0.12044179771671257</v>
          </cell>
          <cell r="AK1122" t="str">
            <v>SLR not in FZ</v>
          </cell>
        </row>
        <row r="1123">
          <cell r="Y1123" t="str">
            <v>Single Family Detached</v>
          </cell>
          <cell r="AG1123">
            <v>6</v>
          </cell>
          <cell r="AH1123">
            <v>10</v>
          </cell>
          <cell r="AJ1123">
            <v>0.29182393943985308</v>
          </cell>
          <cell r="AK1123" t="str">
            <v>SLR not in FZ</v>
          </cell>
        </row>
        <row r="1124">
          <cell r="Y1124" t="str">
            <v>Single Family Detached</v>
          </cell>
          <cell r="AG1124">
            <v>6</v>
          </cell>
          <cell r="AH1124">
            <v>10</v>
          </cell>
          <cell r="AJ1124">
            <v>0.1158276231402663</v>
          </cell>
          <cell r="AK1124" t="str">
            <v>SLR not in FZ</v>
          </cell>
        </row>
        <row r="1125">
          <cell r="Y1125" t="str">
            <v>Single Family Detached</v>
          </cell>
          <cell r="AG1125">
            <v>6</v>
          </cell>
          <cell r="AH1125">
            <v>10</v>
          </cell>
          <cell r="AJ1125">
            <v>0.11660072436524335</v>
          </cell>
          <cell r="AK1125" t="str">
            <v>SLR not in FZ</v>
          </cell>
        </row>
        <row r="1126">
          <cell r="Y1126" t="str">
            <v>Single Family Detached</v>
          </cell>
          <cell r="AG1126">
            <v>6</v>
          </cell>
          <cell r="AH1126">
            <v>10</v>
          </cell>
          <cell r="AJ1126">
            <v>5.6529764592056934E-2</v>
          </cell>
          <cell r="AK1126" t="str">
            <v>SLR not in FZ</v>
          </cell>
        </row>
        <row r="1127">
          <cell r="Y1127" t="str">
            <v>Single Family Detached</v>
          </cell>
          <cell r="AG1127">
            <v>6</v>
          </cell>
          <cell r="AH1127">
            <v>10</v>
          </cell>
          <cell r="AJ1127">
            <v>6.1840341398071631E-2</v>
          </cell>
          <cell r="AK1127" t="str">
            <v>SLR not in FZ</v>
          </cell>
        </row>
        <row r="1128">
          <cell r="Y1128" t="str">
            <v>Single Family Detached</v>
          </cell>
          <cell r="AG1128">
            <v>6</v>
          </cell>
          <cell r="AH1128">
            <v>10</v>
          </cell>
          <cell r="AJ1128">
            <v>9.5472601179752065E-2</v>
          </cell>
          <cell r="AK1128" t="str">
            <v>SLR not in FZ</v>
          </cell>
        </row>
        <row r="1129">
          <cell r="Y1129" t="str">
            <v>Single Family Detached</v>
          </cell>
          <cell r="AG1129">
            <v>6</v>
          </cell>
          <cell r="AH1129">
            <v>10</v>
          </cell>
          <cell r="AJ1129">
            <v>6.5975318193296592E-2</v>
          </cell>
          <cell r="AK1129" t="str">
            <v>SLR not in FZ</v>
          </cell>
        </row>
        <row r="1130">
          <cell r="Y1130" t="str">
            <v>Single Family Detached</v>
          </cell>
          <cell r="AG1130">
            <v>6</v>
          </cell>
          <cell r="AH1130">
            <v>10</v>
          </cell>
          <cell r="AJ1130">
            <v>6.5013564955463718E-2</v>
          </cell>
          <cell r="AK1130" t="str">
            <v>SLR not in FZ</v>
          </cell>
        </row>
        <row r="1131">
          <cell r="Y1131" t="str">
            <v>Single Family Detached</v>
          </cell>
          <cell r="AG1131">
            <v>6</v>
          </cell>
          <cell r="AH1131">
            <v>10</v>
          </cell>
          <cell r="AJ1131">
            <v>9.2181891263314969E-2</v>
          </cell>
          <cell r="AK1131" t="str">
            <v>SLR not in FZ</v>
          </cell>
        </row>
        <row r="1132">
          <cell r="Y1132" t="str">
            <v>Single Family Detached</v>
          </cell>
          <cell r="AG1132">
            <v>6</v>
          </cell>
          <cell r="AH1132">
            <v>10</v>
          </cell>
          <cell r="AJ1132">
            <v>9.929360192194675E-2</v>
          </cell>
          <cell r="AK1132" t="str">
            <v>SLR not in FZ</v>
          </cell>
        </row>
        <row r="1133">
          <cell r="Y1133" t="str">
            <v>Single Family Detached</v>
          </cell>
          <cell r="AG1133">
            <v>6</v>
          </cell>
          <cell r="AH1133">
            <v>10</v>
          </cell>
          <cell r="AJ1133">
            <v>0.12715726113636364</v>
          </cell>
          <cell r="AK1133" t="str">
            <v>SLR not in FZ</v>
          </cell>
        </row>
        <row r="1134">
          <cell r="Y1134" t="str">
            <v>Single Family Detached</v>
          </cell>
          <cell r="AG1134">
            <v>6</v>
          </cell>
          <cell r="AH1134">
            <v>10</v>
          </cell>
          <cell r="AJ1134">
            <v>6.3011892316574836E-2</v>
          </cell>
          <cell r="AK1134" t="str">
            <v>SLR not in FZ</v>
          </cell>
        </row>
        <row r="1135">
          <cell r="Y1135" t="str">
            <v>Single Family Detached</v>
          </cell>
          <cell r="AG1135">
            <v>6</v>
          </cell>
          <cell r="AH1135">
            <v>10</v>
          </cell>
          <cell r="AJ1135">
            <v>0.11700210859504132</v>
          </cell>
          <cell r="AK1135" t="str">
            <v>SLR not in FZ</v>
          </cell>
        </row>
        <row r="1136">
          <cell r="Y1136" t="str">
            <v>Single Family Detached</v>
          </cell>
          <cell r="AG1136">
            <v>6</v>
          </cell>
          <cell r="AH1136">
            <v>10</v>
          </cell>
          <cell r="AJ1136">
            <v>8.6298717686868684E-2</v>
          </cell>
          <cell r="AK1136" t="str">
            <v>SLR not in FZ</v>
          </cell>
        </row>
        <row r="1137">
          <cell r="Y1137" t="str">
            <v>Single Family Detached</v>
          </cell>
          <cell r="AG1137">
            <v>6</v>
          </cell>
          <cell r="AH1137">
            <v>10</v>
          </cell>
          <cell r="AJ1137">
            <v>8.5700551471074388E-2</v>
          </cell>
          <cell r="AK1137" t="str">
            <v>SLR not in FZ</v>
          </cell>
        </row>
        <row r="1138">
          <cell r="Y1138" t="str">
            <v>Single Family Detached</v>
          </cell>
          <cell r="AG1138">
            <v>6</v>
          </cell>
          <cell r="AH1138">
            <v>10</v>
          </cell>
          <cell r="AJ1138">
            <v>5.6557198318870523E-2</v>
          </cell>
          <cell r="AK1138" t="str">
            <v>SLR not in FZ</v>
          </cell>
        </row>
        <row r="1139">
          <cell r="Y1139" t="str">
            <v>Single Family Detached</v>
          </cell>
          <cell r="AG1139">
            <v>6</v>
          </cell>
          <cell r="AH1139">
            <v>10</v>
          </cell>
          <cell r="AJ1139">
            <v>8.5444218983241504E-2</v>
          </cell>
          <cell r="AK1139" t="str">
            <v>SLR not in FZ</v>
          </cell>
        </row>
        <row r="1140">
          <cell r="Y1140" t="str">
            <v>Single Family Detached</v>
          </cell>
          <cell r="AG1140">
            <v>6</v>
          </cell>
          <cell r="AH1140">
            <v>10</v>
          </cell>
          <cell r="AJ1140">
            <v>8.6063579594123044E-2</v>
          </cell>
          <cell r="AK1140" t="str">
            <v>SLR not in FZ</v>
          </cell>
        </row>
        <row r="1141">
          <cell r="Y1141" t="str">
            <v>Single Family Detached</v>
          </cell>
          <cell r="AG1141">
            <v>6</v>
          </cell>
          <cell r="AH1141">
            <v>10</v>
          </cell>
          <cell r="AJ1141">
            <v>0.11628405797635445</v>
          </cell>
          <cell r="AK1141" t="str">
            <v>SLR not in FZ</v>
          </cell>
        </row>
        <row r="1142">
          <cell r="Y1142" t="str">
            <v>Single Family Detached</v>
          </cell>
          <cell r="AG1142">
            <v>6</v>
          </cell>
          <cell r="AH1142">
            <v>10</v>
          </cell>
          <cell r="AJ1142">
            <v>8.6301338123966939E-2</v>
          </cell>
          <cell r="AK1142" t="str">
            <v>SLR not in FZ</v>
          </cell>
        </row>
        <row r="1143">
          <cell r="Y1143" t="str">
            <v>Single Family Detached</v>
          </cell>
          <cell r="AG1143">
            <v>6</v>
          </cell>
          <cell r="AH1143">
            <v>10</v>
          </cell>
          <cell r="AJ1143">
            <v>8.7390124821166204E-2</v>
          </cell>
          <cell r="AK1143" t="str">
            <v>SLR not in FZ</v>
          </cell>
        </row>
        <row r="1144">
          <cell r="Y1144" t="str">
            <v>Single Family Detached</v>
          </cell>
          <cell r="AG1144">
            <v>6</v>
          </cell>
          <cell r="AH1144">
            <v>10</v>
          </cell>
          <cell r="AJ1144">
            <v>0.11484633554843894</v>
          </cell>
          <cell r="AK1144" t="str">
            <v>SLR not in FZ</v>
          </cell>
        </row>
        <row r="1145">
          <cell r="Y1145" t="str">
            <v>Single Family Detached</v>
          </cell>
          <cell r="AG1145">
            <v>6</v>
          </cell>
          <cell r="AH1145">
            <v>10</v>
          </cell>
          <cell r="AJ1145">
            <v>6.4293347561753894E-2</v>
          </cell>
          <cell r="AK1145" t="str">
            <v>SLR not in FZ</v>
          </cell>
        </row>
        <row r="1146">
          <cell r="Y1146" t="str">
            <v>Single Family Detached</v>
          </cell>
          <cell r="AG1146">
            <v>6</v>
          </cell>
          <cell r="AH1146">
            <v>10</v>
          </cell>
          <cell r="AJ1146">
            <v>6.8602749580808073E-2</v>
          </cell>
          <cell r="AK1146" t="str">
            <v>SLR not in FZ</v>
          </cell>
        </row>
        <row r="1147">
          <cell r="Y1147" t="str">
            <v>Single Family Detached</v>
          </cell>
          <cell r="AG1147">
            <v>6</v>
          </cell>
          <cell r="AH1147">
            <v>10</v>
          </cell>
          <cell r="AJ1147">
            <v>9.9067981980257111E-2</v>
          </cell>
          <cell r="AK1147" t="str">
            <v>SLR not in FZ</v>
          </cell>
        </row>
        <row r="1148">
          <cell r="Y1148" t="str">
            <v>Single Family Detached</v>
          </cell>
          <cell r="AG1148">
            <v>6</v>
          </cell>
          <cell r="AH1148">
            <v>10</v>
          </cell>
          <cell r="AJ1148">
            <v>0.131529116021809</v>
          </cell>
          <cell r="AK1148" t="str">
            <v>SLR not in FZ</v>
          </cell>
        </row>
        <row r="1149">
          <cell r="Y1149" t="str">
            <v>Single Family Detached</v>
          </cell>
          <cell r="AG1149">
            <v>6</v>
          </cell>
          <cell r="AH1149">
            <v>10</v>
          </cell>
          <cell r="AJ1149">
            <v>9.6138977526170802E-2</v>
          </cell>
          <cell r="AK1149" t="str">
            <v>SLR not in FZ</v>
          </cell>
        </row>
        <row r="1150">
          <cell r="Y1150" t="str">
            <v>Single Family Detached</v>
          </cell>
          <cell r="AG1150">
            <v>6</v>
          </cell>
          <cell r="AH1150">
            <v>10</v>
          </cell>
          <cell r="AJ1150">
            <v>9.4379861534894402E-2</v>
          </cell>
          <cell r="AK1150" t="str">
            <v>SLR not in FZ</v>
          </cell>
        </row>
        <row r="1151">
          <cell r="Y1151" t="str">
            <v>Single Family Vacant</v>
          </cell>
          <cell r="AG1151">
            <v>6</v>
          </cell>
          <cell r="AH1151">
            <v>10</v>
          </cell>
          <cell r="AJ1151">
            <v>0.12726533950091828</v>
          </cell>
          <cell r="AK1151" t="str">
            <v>SLR not in FZ</v>
          </cell>
        </row>
        <row r="1152">
          <cell r="Y1152" t="str">
            <v>Single Family Detached</v>
          </cell>
          <cell r="AG1152">
            <v>5</v>
          </cell>
          <cell r="AH1152">
            <v>10</v>
          </cell>
          <cell r="AJ1152">
            <v>0.1282433238785583</v>
          </cell>
          <cell r="AK1152" t="str">
            <v>SLR not in FZ</v>
          </cell>
        </row>
        <row r="1153">
          <cell r="Y1153" t="str">
            <v>Single Family Detached</v>
          </cell>
          <cell r="AG1153">
            <v>6</v>
          </cell>
          <cell r="AH1153">
            <v>10</v>
          </cell>
          <cell r="AJ1153">
            <v>0.12562916026010101</v>
          </cell>
          <cell r="AK1153" t="str">
            <v>SLR not in FZ</v>
          </cell>
        </row>
        <row r="1154">
          <cell r="Y1154" t="str">
            <v>Single Family Detached</v>
          </cell>
          <cell r="AG1154">
            <v>5</v>
          </cell>
          <cell r="AH1154">
            <v>10</v>
          </cell>
          <cell r="AJ1154">
            <v>0.12928882131703398</v>
          </cell>
          <cell r="AK1154" t="str">
            <v>SLR not in FZ</v>
          </cell>
        </row>
        <row r="1155">
          <cell r="Y1155" t="str">
            <v>Single Family Detached</v>
          </cell>
          <cell r="AG1155">
            <v>6</v>
          </cell>
          <cell r="AH1155">
            <v>10</v>
          </cell>
          <cell r="AJ1155">
            <v>8.4602903918962344E-2</v>
          </cell>
          <cell r="AK1155" t="str">
            <v>SLR not in FZ</v>
          </cell>
        </row>
        <row r="1156">
          <cell r="Y1156" t="str">
            <v>Single Family Detached</v>
          </cell>
          <cell r="AG1156">
            <v>6</v>
          </cell>
          <cell r="AH1156">
            <v>10</v>
          </cell>
          <cell r="AJ1156">
            <v>8.7383181896464643E-2</v>
          </cell>
          <cell r="AK1156" t="str">
            <v>SLR not in FZ</v>
          </cell>
        </row>
        <row r="1157">
          <cell r="Y1157" t="str">
            <v>Single Family Detached</v>
          </cell>
          <cell r="AG1157">
            <v>6</v>
          </cell>
          <cell r="AH1157">
            <v>10</v>
          </cell>
          <cell r="AJ1157">
            <v>0.11862968621579431</v>
          </cell>
          <cell r="AK1157" t="str">
            <v>SLR not in FZ</v>
          </cell>
        </row>
        <row r="1158">
          <cell r="Y1158" t="str">
            <v>Single Family Detached</v>
          </cell>
          <cell r="AG1158">
            <v>6</v>
          </cell>
          <cell r="AH1158">
            <v>10</v>
          </cell>
          <cell r="AJ1158">
            <v>0.16173695030624427</v>
          </cell>
          <cell r="AK1158" t="str">
            <v>SLR not in FZ</v>
          </cell>
        </row>
        <row r="1159">
          <cell r="Y1159" t="str">
            <v>Single Family Detached</v>
          </cell>
          <cell r="AG1159">
            <v>6</v>
          </cell>
          <cell r="AH1159">
            <v>10</v>
          </cell>
          <cell r="AJ1159">
            <v>9.7501707713957761E-2</v>
          </cell>
          <cell r="AK1159" t="str">
            <v>SLR not in FZ</v>
          </cell>
        </row>
        <row r="1160">
          <cell r="Y1160" t="str">
            <v>Single Family Detached</v>
          </cell>
          <cell r="AG1160">
            <v>6</v>
          </cell>
          <cell r="AH1160">
            <v>10</v>
          </cell>
          <cell r="AJ1160">
            <v>9.6606336322314051E-2</v>
          </cell>
          <cell r="AK1160" t="str">
            <v>SLR not in FZ</v>
          </cell>
        </row>
        <row r="1161">
          <cell r="Y1161" t="str">
            <v>Single Family Detached</v>
          </cell>
          <cell r="AG1161">
            <v>6</v>
          </cell>
          <cell r="AH1161">
            <v>10</v>
          </cell>
          <cell r="AJ1161">
            <v>9.7416726558310379E-2</v>
          </cell>
          <cell r="AK1161" t="str">
            <v>SLR not in FZ</v>
          </cell>
        </row>
        <row r="1162">
          <cell r="Y1162" t="str">
            <v>Single Family Detached</v>
          </cell>
          <cell r="AG1162">
            <v>5</v>
          </cell>
          <cell r="AH1162">
            <v>10</v>
          </cell>
          <cell r="AJ1162">
            <v>0.11451682537419651</v>
          </cell>
          <cell r="AK1162" t="str">
            <v>SLR not in FZ</v>
          </cell>
        </row>
        <row r="1163">
          <cell r="Y1163" t="str">
            <v>Single Family Detached</v>
          </cell>
          <cell r="AG1163">
            <v>6</v>
          </cell>
          <cell r="AH1163">
            <v>10</v>
          </cell>
          <cell r="AJ1163">
            <v>5.5693606946051424E-2</v>
          </cell>
          <cell r="AK1163" t="str">
            <v>SLR not in FZ</v>
          </cell>
        </row>
        <row r="1164">
          <cell r="Y1164" t="str">
            <v>Single Family Detached</v>
          </cell>
          <cell r="AG1164">
            <v>6</v>
          </cell>
          <cell r="AH1164">
            <v>10</v>
          </cell>
          <cell r="AJ1164">
            <v>5.5913741177915519E-2</v>
          </cell>
          <cell r="AK1164" t="str">
            <v>SLR not in FZ</v>
          </cell>
        </row>
        <row r="1165">
          <cell r="Y1165" t="str">
            <v>Single Family Detached</v>
          </cell>
          <cell r="AG1165">
            <v>6</v>
          </cell>
          <cell r="AH1165">
            <v>10</v>
          </cell>
          <cell r="AJ1165">
            <v>5.3805502698347107E-2</v>
          </cell>
          <cell r="AK1165" t="str">
            <v>SLR not in FZ</v>
          </cell>
        </row>
        <row r="1166">
          <cell r="Y1166" t="str">
            <v>Single Family Detached</v>
          </cell>
          <cell r="AG1166">
            <v>6</v>
          </cell>
          <cell r="AH1166">
            <v>10</v>
          </cell>
          <cell r="AJ1166">
            <v>0.11571273188406796</v>
          </cell>
          <cell r="AK1166" t="str">
            <v>SLR not in FZ</v>
          </cell>
        </row>
        <row r="1167">
          <cell r="Y1167" t="str">
            <v>Single Family Detached</v>
          </cell>
          <cell r="AG1167">
            <v>6</v>
          </cell>
          <cell r="AH1167">
            <v>10</v>
          </cell>
          <cell r="AJ1167">
            <v>6.283158200734619E-2</v>
          </cell>
          <cell r="AK1167" t="str">
            <v>SLR not in FZ</v>
          </cell>
        </row>
        <row r="1168">
          <cell r="Y1168" t="str">
            <v>Single Family Detached</v>
          </cell>
          <cell r="AG1168">
            <v>6</v>
          </cell>
          <cell r="AH1168">
            <v>10</v>
          </cell>
          <cell r="AJ1168">
            <v>0.12993576468319559</v>
          </cell>
          <cell r="AK1168" t="str">
            <v>SLR not in FZ</v>
          </cell>
        </row>
        <row r="1169">
          <cell r="Y1169" t="str">
            <v>Single Family Detached</v>
          </cell>
          <cell r="AG1169">
            <v>6</v>
          </cell>
          <cell r="AH1169">
            <v>10</v>
          </cell>
          <cell r="AJ1169">
            <v>6.7868420455234169E-2</v>
          </cell>
          <cell r="AK1169" t="str">
            <v>SLR not in FZ</v>
          </cell>
        </row>
        <row r="1170">
          <cell r="Y1170" t="str">
            <v>Single Family Detached</v>
          </cell>
          <cell r="AG1170">
            <v>6</v>
          </cell>
          <cell r="AH1170">
            <v>10</v>
          </cell>
          <cell r="AJ1170">
            <v>5.7839075380853998E-2</v>
          </cell>
          <cell r="AK1170" t="str">
            <v>SLR not in FZ</v>
          </cell>
        </row>
        <row r="1171">
          <cell r="Y1171" t="str">
            <v>Single Family Detached</v>
          </cell>
          <cell r="AG1171">
            <v>6</v>
          </cell>
          <cell r="AH1171">
            <v>10</v>
          </cell>
          <cell r="AJ1171">
            <v>0.13072931067906335</v>
          </cell>
          <cell r="AK1171" t="str">
            <v>SLR not in FZ</v>
          </cell>
        </row>
        <row r="1172">
          <cell r="Y1172" t="str">
            <v>Single Family Detached</v>
          </cell>
          <cell r="AG1172">
            <v>5</v>
          </cell>
          <cell r="AH1172">
            <v>10</v>
          </cell>
          <cell r="AJ1172">
            <v>3.4727502171487602E-2</v>
          </cell>
          <cell r="AK1172" t="str">
            <v>SLR not in FZ</v>
          </cell>
        </row>
        <row r="1173">
          <cell r="Y1173" t="str">
            <v>Single Family Detached</v>
          </cell>
          <cell r="AG1173">
            <v>5</v>
          </cell>
          <cell r="AH1173">
            <v>10</v>
          </cell>
          <cell r="AJ1173">
            <v>9.2762079611570236E-2</v>
          </cell>
          <cell r="AK1173" t="str">
            <v>SLR not in FZ</v>
          </cell>
        </row>
        <row r="1174">
          <cell r="Y1174" t="str">
            <v>Single Family Detached</v>
          </cell>
          <cell r="AG1174">
            <v>5</v>
          </cell>
          <cell r="AH1174">
            <v>10</v>
          </cell>
          <cell r="AJ1174">
            <v>0.11089867875091826</v>
          </cell>
          <cell r="AK1174" t="str">
            <v>SLR not in FZ</v>
          </cell>
        </row>
        <row r="1175">
          <cell r="Y1175" t="str">
            <v>Single Family Detached</v>
          </cell>
          <cell r="AG1175">
            <v>6</v>
          </cell>
          <cell r="AH1175">
            <v>10</v>
          </cell>
          <cell r="AJ1175">
            <v>9.1177131166437109E-2</v>
          </cell>
          <cell r="AK1175" t="str">
            <v>SLR not in FZ</v>
          </cell>
        </row>
        <row r="1176">
          <cell r="Y1176" t="str">
            <v>Single Family Detached</v>
          </cell>
          <cell r="AG1176">
            <v>6</v>
          </cell>
          <cell r="AH1176">
            <v>10</v>
          </cell>
          <cell r="AJ1176">
            <v>8.7635519609504137E-2</v>
          </cell>
          <cell r="AK1176" t="str">
            <v>SLR not in FZ</v>
          </cell>
        </row>
        <row r="1177">
          <cell r="Y1177" t="str">
            <v>Single Family Detached</v>
          </cell>
          <cell r="AG1177">
            <v>6</v>
          </cell>
          <cell r="AH1177">
            <v>10</v>
          </cell>
          <cell r="AJ1177">
            <v>9.085919389577593E-2</v>
          </cell>
          <cell r="AK1177" t="str">
            <v>SLR not in FZ</v>
          </cell>
        </row>
        <row r="1178">
          <cell r="Y1178" t="str">
            <v>Single Family Detached</v>
          </cell>
          <cell r="AG1178">
            <v>6</v>
          </cell>
          <cell r="AH1178">
            <v>10</v>
          </cell>
          <cell r="AJ1178">
            <v>0.15610228305004592</v>
          </cell>
          <cell r="AK1178" t="str">
            <v>SLR not in FZ</v>
          </cell>
        </row>
        <row r="1179">
          <cell r="Y1179" t="str">
            <v>Single Family Detached</v>
          </cell>
          <cell r="AG1179">
            <v>6</v>
          </cell>
          <cell r="AH1179">
            <v>10</v>
          </cell>
          <cell r="AJ1179">
            <v>7.6899830410927461E-2</v>
          </cell>
          <cell r="AK1179" t="str">
            <v>SLR not in FZ</v>
          </cell>
        </row>
        <row r="1180">
          <cell r="Y1180" t="str">
            <v>Single Family Detached</v>
          </cell>
          <cell r="AG1180">
            <v>6</v>
          </cell>
          <cell r="AH1180">
            <v>10</v>
          </cell>
          <cell r="AJ1180">
            <v>7.3020887438705245E-2</v>
          </cell>
          <cell r="AK1180" t="str">
            <v>SLR not in FZ</v>
          </cell>
        </row>
        <row r="1181">
          <cell r="Y1181" t="str">
            <v>Single Family Detached</v>
          </cell>
          <cell r="AG1181">
            <v>6</v>
          </cell>
          <cell r="AH1181">
            <v>10</v>
          </cell>
          <cell r="AJ1181">
            <v>0.11456877158080808</v>
          </cell>
          <cell r="AK1181" t="str">
            <v>SLR not in FZ</v>
          </cell>
        </row>
        <row r="1182">
          <cell r="Y1182" t="str">
            <v>Single Family Detached</v>
          </cell>
          <cell r="AG1182">
            <v>6</v>
          </cell>
          <cell r="AH1182">
            <v>10</v>
          </cell>
          <cell r="AJ1182">
            <v>6.912972386845731E-2</v>
          </cell>
          <cell r="AK1182" t="str">
            <v>SLR not in FZ</v>
          </cell>
        </row>
        <row r="1183">
          <cell r="Y1183" t="str">
            <v>Single Family Detached</v>
          </cell>
          <cell r="AG1183">
            <v>5</v>
          </cell>
          <cell r="AH1183">
            <v>10</v>
          </cell>
          <cell r="AJ1183">
            <v>9.186440530578513E-2</v>
          </cell>
          <cell r="AK1183" t="str">
            <v>SLR not in FZ</v>
          </cell>
        </row>
        <row r="1184">
          <cell r="Y1184" t="str">
            <v>Single Family Detached</v>
          </cell>
          <cell r="AG1184">
            <v>5</v>
          </cell>
          <cell r="AH1184">
            <v>10</v>
          </cell>
          <cell r="AJ1184">
            <v>9.1784763604224065E-2</v>
          </cell>
          <cell r="AK1184" t="str">
            <v>SLR not in FZ</v>
          </cell>
        </row>
        <row r="1185">
          <cell r="Y1185" t="str">
            <v>Single Family Detached</v>
          </cell>
          <cell r="AG1185">
            <v>5</v>
          </cell>
          <cell r="AH1185">
            <v>10</v>
          </cell>
          <cell r="AJ1185">
            <v>9.1716698060606061E-2</v>
          </cell>
          <cell r="AK1185" t="str">
            <v>SLR not in FZ</v>
          </cell>
        </row>
        <row r="1186">
          <cell r="Y1186" t="str">
            <v>Single Family Detached</v>
          </cell>
          <cell r="AG1186">
            <v>5</v>
          </cell>
          <cell r="AH1186">
            <v>10</v>
          </cell>
          <cell r="AJ1186">
            <v>6.6867927253213957E-2</v>
          </cell>
          <cell r="AK1186" t="str">
            <v>SLR not in FZ</v>
          </cell>
        </row>
        <row r="1187">
          <cell r="Y1187" t="str">
            <v>Single Family Detached</v>
          </cell>
          <cell r="AG1187">
            <v>0</v>
          </cell>
          <cell r="AH1187">
            <v>10</v>
          </cell>
          <cell r="AJ1187">
            <v>0.2902374716965106</v>
          </cell>
          <cell r="AK1187" t="str">
            <v>SLR not in FZ</v>
          </cell>
        </row>
        <row r="1188">
          <cell r="Y1188" t="str">
            <v>Single Family Detached</v>
          </cell>
          <cell r="AG1188">
            <v>0</v>
          </cell>
          <cell r="AH1188">
            <v>10</v>
          </cell>
          <cell r="AJ1188">
            <v>0.17530648421326905</v>
          </cell>
          <cell r="AK1188" t="str">
            <v>SLR not in FZ</v>
          </cell>
        </row>
        <row r="1189">
          <cell r="Y1189" t="str">
            <v>Single Family Detached</v>
          </cell>
          <cell r="AG1189">
            <v>0</v>
          </cell>
          <cell r="AH1189">
            <v>10</v>
          </cell>
          <cell r="AJ1189">
            <v>8.140384964233241E-2</v>
          </cell>
          <cell r="AK1189" t="str">
            <v>SLR not in FZ</v>
          </cell>
        </row>
        <row r="1190">
          <cell r="Y1190" t="str">
            <v>Single Family Detached</v>
          </cell>
          <cell r="AG1190">
            <v>0</v>
          </cell>
          <cell r="AH1190">
            <v>10</v>
          </cell>
          <cell r="AJ1190">
            <v>8.1020235990128558E-2</v>
          </cell>
          <cell r="AK1190" t="str">
            <v>SLR not in FZ</v>
          </cell>
        </row>
        <row r="1191">
          <cell r="Y1191" t="str">
            <v>Vacant, unbuildable</v>
          </cell>
          <cell r="AG1191">
            <v>0</v>
          </cell>
          <cell r="AH1191">
            <v>10</v>
          </cell>
          <cell r="AJ1191">
            <v>9.059431503925619E-2</v>
          </cell>
          <cell r="AK1191" t="str">
            <v>SLR not in FZ</v>
          </cell>
        </row>
        <row r="1192">
          <cell r="Y1192" t="str">
            <v>Single Family Attached</v>
          </cell>
          <cell r="AG1192">
            <v>0</v>
          </cell>
          <cell r="AH1192">
            <v>10</v>
          </cell>
          <cell r="AJ1192">
            <v>0.15163779202318642</v>
          </cell>
          <cell r="AK1192" t="str">
            <v>SLR not in FZ</v>
          </cell>
        </row>
        <row r="1193">
          <cell r="Y1193" t="str">
            <v>Single Family Attached</v>
          </cell>
          <cell r="AG1193">
            <v>0</v>
          </cell>
          <cell r="AH1193">
            <v>10</v>
          </cell>
          <cell r="AJ1193">
            <v>0.42908767536271808</v>
          </cell>
          <cell r="AK1193" t="str">
            <v>SLR not in FZ</v>
          </cell>
        </row>
        <row r="1194">
          <cell r="Y1194" t="str">
            <v>Single Family Attached</v>
          </cell>
          <cell r="AG1194">
            <v>0</v>
          </cell>
          <cell r="AH1194">
            <v>10</v>
          </cell>
          <cell r="AJ1194">
            <v>0.21206920753076214</v>
          </cell>
          <cell r="AK1194" t="str">
            <v>SLR not in FZ</v>
          </cell>
        </row>
        <row r="1195">
          <cell r="Y1195" t="str">
            <v>Single Family Attached</v>
          </cell>
          <cell r="AG1195">
            <v>2</v>
          </cell>
          <cell r="AH1195">
            <v>10</v>
          </cell>
          <cell r="AJ1195">
            <v>0.38926948726354454</v>
          </cell>
          <cell r="AK1195" t="str">
            <v>SLR not in FZ</v>
          </cell>
        </row>
        <row r="1196">
          <cell r="Y1196" t="str">
            <v>Single Family Attached</v>
          </cell>
          <cell r="AG1196">
            <v>2</v>
          </cell>
          <cell r="AH1196">
            <v>10</v>
          </cell>
          <cell r="AJ1196">
            <v>0.14155589239876032</v>
          </cell>
          <cell r="AK1196" t="str">
            <v>SLR not in FZ</v>
          </cell>
        </row>
        <row r="1197">
          <cell r="Y1197" t="str">
            <v>Single Family Attached</v>
          </cell>
          <cell r="AG1197">
            <v>0</v>
          </cell>
          <cell r="AH1197">
            <v>10</v>
          </cell>
          <cell r="AJ1197">
            <v>7.5450188727043163E-2</v>
          </cell>
          <cell r="AK1197" t="str">
            <v>SLR not in FZ</v>
          </cell>
        </row>
        <row r="1198">
          <cell r="Y1198" t="str">
            <v>Single Family Attached</v>
          </cell>
          <cell r="AG1198">
            <v>0</v>
          </cell>
          <cell r="AH1198">
            <v>10</v>
          </cell>
          <cell r="AJ1198">
            <v>9.7034847935261709E-2</v>
          </cell>
          <cell r="AK1198" t="str">
            <v>SLR not in FZ</v>
          </cell>
        </row>
        <row r="1199">
          <cell r="Y1199" t="str">
            <v>Single Family Attached</v>
          </cell>
          <cell r="AG1199">
            <v>1</v>
          </cell>
          <cell r="AH1199">
            <v>10</v>
          </cell>
          <cell r="AJ1199">
            <v>0.17140661379224059</v>
          </cell>
          <cell r="AK1199" t="str">
            <v>SLR not in FZ</v>
          </cell>
        </row>
        <row r="1200">
          <cell r="Y1200" t="str">
            <v>Single Family Detached</v>
          </cell>
          <cell r="AG1200">
            <v>0</v>
          </cell>
          <cell r="AH1200">
            <v>10</v>
          </cell>
          <cell r="AJ1200">
            <v>0.16494651402571167</v>
          </cell>
          <cell r="AK1200" t="str">
            <v>SLR not in FZ</v>
          </cell>
        </row>
        <row r="1201">
          <cell r="Y1201" t="str">
            <v>Single Family Attached</v>
          </cell>
          <cell r="AG1201">
            <v>3</v>
          </cell>
          <cell r="AH1201">
            <v>10</v>
          </cell>
          <cell r="AJ1201">
            <v>0.10747786520798898</v>
          </cell>
          <cell r="AK1201" t="str">
            <v>SLR not in FZ</v>
          </cell>
        </row>
        <row r="1202">
          <cell r="Y1202" t="str">
            <v>Single Family Attached</v>
          </cell>
          <cell r="AG1202">
            <v>1</v>
          </cell>
          <cell r="AH1202">
            <v>10</v>
          </cell>
          <cell r="AJ1202">
            <v>0.18984150962465565</v>
          </cell>
          <cell r="AK1202" t="str">
            <v>SLR not in FZ</v>
          </cell>
        </row>
        <row r="1203">
          <cell r="Y1203" t="str">
            <v>Single Family Attached</v>
          </cell>
          <cell r="AG1203">
            <v>0</v>
          </cell>
          <cell r="AH1203">
            <v>10</v>
          </cell>
          <cell r="AJ1203">
            <v>0.20911688935261707</v>
          </cell>
          <cell r="AK1203" t="str">
            <v>SLR not in FZ</v>
          </cell>
        </row>
        <row r="1204">
          <cell r="Y1204" t="str">
            <v>Single Family Attached</v>
          </cell>
          <cell r="AG1204">
            <v>0</v>
          </cell>
          <cell r="AH1204">
            <v>10</v>
          </cell>
          <cell r="AJ1204">
            <v>0.15679674426262627</v>
          </cell>
          <cell r="AK1204" t="str">
            <v>SLR not in FZ</v>
          </cell>
        </row>
        <row r="1205">
          <cell r="Y1205" t="str">
            <v>Single Family Attached</v>
          </cell>
          <cell r="AG1205">
            <v>2</v>
          </cell>
          <cell r="AH1205">
            <v>10</v>
          </cell>
          <cell r="AJ1205">
            <v>0.11769149979912763</v>
          </cell>
          <cell r="AK1205" t="str">
            <v>SLR not in FZ</v>
          </cell>
        </row>
        <row r="1206">
          <cell r="Y1206" t="str">
            <v>Single Family Attached</v>
          </cell>
          <cell r="AG1206">
            <v>0</v>
          </cell>
          <cell r="AH1206">
            <v>10</v>
          </cell>
          <cell r="AJ1206">
            <v>8.3725301610651975E-2</v>
          </cell>
          <cell r="AK1206" t="str">
            <v>SLR not in FZ</v>
          </cell>
        </row>
        <row r="1207">
          <cell r="Y1207" t="str">
            <v>Single Family Detached</v>
          </cell>
          <cell r="AG1207">
            <v>0</v>
          </cell>
          <cell r="AH1207">
            <v>10</v>
          </cell>
          <cell r="AJ1207">
            <v>0.20444607116666666</v>
          </cell>
          <cell r="AK1207" t="str">
            <v>SLR not in FZ</v>
          </cell>
        </row>
        <row r="1208">
          <cell r="Y1208" t="str">
            <v>Single Family Detached</v>
          </cell>
          <cell r="AG1208">
            <v>1</v>
          </cell>
          <cell r="AH1208">
            <v>10</v>
          </cell>
          <cell r="AJ1208">
            <v>0.19360546317516072</v>
          </cell>
          <cell r="AK1208" t="str">
            <v>SLR not in FZ</v>
          </cell>
        </row>
        <row r="1209">
          <cell r="Y1209" t="str">
            <v>Single Family Detached</v>
          </cell>
          <cell r="AG1209">
            <v>0</v>
          </cell>
          <cell r="AH1209">
            <v>10</v>
          </cell>
          <cell r="AJ1209">
            <v>0.14010392729224058</v>
          </cell>
          <cell r="AK1209" t="str">
            <v>SLR not in FZ</v>
          </cell>
        </row>
        <row r="1210">
          <cell r="Y1210" t="str">
            <v>Single Family Detached</v>
          </cell>
          <cell r="AG1210">
            <v>0</v>
          </cell>
          <cell r="AH1210">
            <v>10</v>
          </cell>
          <cell r="AJ1210">
            <v>6.6745622508264463E-2</v>
          </cell>
          <cell r="AK1210" t="str">
            <v>SLR not in FZ</v>
          </cell>
        </row>
        <row r="1211">
          <cell r="Y1211" t="str">
            <v>Single Family Vacant</v>
          </cell>
          <cell r="AG1211">
            <v>0</v>
          </cell>
          <cell r="AH1211">
            <v>10</v>
          </cell>
          <cell r="AJ1211">
            <v>7.7817002118686876E-2</v>
          </cell>
          <cell r="AK1211" t="str">
            <v>SLR not in FZ</v>
          </cell>
        </row>
        <row r="1212">
          <cell r="Y1212" t="str">
            <v>Single Family Vacant</v>
          </cell>
          <cell r="AG1212">
            <v>0</v>
          </cell>
          <cell r="AH1212">
            <v>10</v>
          </cell>
          <cell r="AJ1212">
            <v>5.9811620211662073E-2</v>
          </cell>
          <cell r="AK1212" t="str">
            <v>SLR not in FZ</v>
          </cell>
        </row>
        <row r="1213">
          <cell r="Y1213" t="str">
            <v>Single Family Vacant</v>
          </cell>
          <cell r="AG1213">
            <v>0</v>
          </cell>
          <cell r="AH1213">
            <v>10</v>
          </cell>
          <cell r="AJ1213">
            <v>0.12226497327548209</v>
          </cell>
          <cell r="AK1213" t="str">
            <v>SLR not in FZ</v>
          </cell>
        </row>
        <row r="1214">
          <cell r="Y1214" t="str">
            <v>Single Family Detached</v>
          </cell>
          <cell r="AG1214">
            <v>1</v>
          </cell>
          <cell r="AH1214">
            <v>10</v>
          </cell>
          <cell r="AJ1214">
            <v>7.5986755287419647E-2</v>
          </cell>
          <cell r="AK1214" t="str">
            <v>SLR not in FZ</v>
          </cell>
        </row>
        <row r="1215">
          <cell r="Y1215" t="str">
            <v>Single Family Detached</v>
          </cell>
          <cell r="AG1215">
            <v>0</v>
          </cell>
          <cell r="AH1215">
            <v>10</v>
          </cell>
          <cell r="AJ1215">
            <v>0.1399278064701561</v>
          </cell>
          <cell r="AK1215" t="str">
            <v>SLR not in FZ</v>
          </cell>
        </row>
        <row r="1216">
          <cell r="Y1216" t="str">
            <v>Single Family Detached</v>
          </cell>
          <cell r="AG1216">
            <v>0</v>
          </cell>
          <cell r="AH1216">
            <v>10</v>
          </cell>
          <cell r="AJ1216">
            <v>0.13226030943686867</v>
          </cell>
          <cell r="AK1216" t="str">
            <v>SLR not in FZ</v>
          </cell>
        </row>
        <row r="1217">
          <cell r="Y1217" t="str">
            <v>Single Family Vacant</v>
          </cell>
          <cell r="AG1217">
            <v>0</v>
          </cell>
          <cell r="AH1217">
            <v>10</v>
          </cell>
          <cell r="AJ1217">
            <v>0.13022432424380165</v>
          </cell>
          <cell r="AK1217" t="str">
            <v>SLR not in FZ</v>
          </cell>
        </row>
        <row r="1218">
          <cell r="Y1218" t="str">
            <v>Single Family Vacant</v>
          </cell>
          <cell r="AG1218">
            <v>0</v>
          </cell>
          <cell r="AH1218">
            <v>10</v>
          </cell>
          <cell r="AJ1218">
            <v>0.12462112496120294</v>
          </cell>
          <cell r="AK1218" t="str">
            <v>SLR not in FZ</v>
          </cell>
        </row>
        <row r="1219">
          <cell r="Y1219" t="str">
            <v>Single Family Vacant</v>
          </cell>
          <cell r="AG1219">
            <v>0</v>
          </cell>
          <cell r="AH1219">
            <v>10</v>
          </cell>
          <cell r="AJ1219">
            <v>0.10623161421900826</v>
          </cell>
          <cell r="AK1219" t="str">
            <v>SLR not in FZ</v>
          </cell>
        </row>
        <row r="1220">
          <cell r="Y1220" t="str">
            <v>Single Family Vacant</v>
          </cell>
          <cell r="AG1220">
            <v>0</v>
          </cell>
          <cell r="AH1220">
            <v>10</v>
          </cell>
          <cell r="AJ1220">
            <v>0.16747075476997247</v>
          </cell>
          <cell r="AK1220" t="str">
            <v>SLR not in FZ</v>
          </cell>
        </row>
        <row r="1221">
          <cell r="Y1221" t="str">
            <v>Single Family Detached</v>
          </cell>
          <cell r="AG1221">
            <v>1</v>
          </cell>
          <cell r="AH1221">
            <v>10</v>
          </cell>
          <cell r="AJ1221">
            <v>0.19449398978833793</v>
          </cell>
          <cell r="AK1221" t="str">
            <v>SLR not in FZ</v>
          </cell>
        </row>
        <row r="1222">
          <cell r="Y1222" t="str">
            <v>Single Family Detached</v>
          </cell>
          <cell r="AG1222">
            <v>4</v>
          </cell>
          <cell r="AH1222">
            <v>10</v>
          </cell>
          <cell r="AJ1222">
            <v>0.25144233370064278</v>
          </cell>
          <cell r="AK1222" t="str">
            <v>SLR not in FZ</v>
          </cell>
        </row>
        <row r="1223">
          <cell r="Y1223" t="str">
            <v>Single Family Vacant</v>
          </cell>
          <cell r="AG1223">
            <v>5</v>
          </cell>
          <cell r="AH1223">
            <v>10</v>
          </cell>
          <cell r="AJ1223">
            <v>0.15190731052203857</v>
          </cell>
          <cell r="AK1223" t="str">
            <v>SLR not in FZ</v>
          </cell>
        </row>
        <row r="1224">
          <cell r="Y1224" t="str">
            <v>Single Family Vacant</v>
          </cell>
          <cell r="AG1224">
            <v>5</v>
          </cell>
          <cell r="AH1224">
            <v>10</v>
          </cell>
          <cell r="AJ1224">
            <v>0.19370099571258034</v>
          </cell>
          <cell r="AK1224" t="str">
            <v>SLR not in FZ</v>
          </cell>
        </row>
        <row r="1225">
          <cell r="Y1225" t="str">
            <v>Single Family Detached</v>
          </cell>
          <cell r="AG1225">
            <v>6</v>
          </cell>
          <cell r="AH1225">
            <v>10</v>
          </cell>
          <cell r="AJ1225">
            <v>5.6419020470156102E-2</v>
          </cell>
          <cell r="AK1225" t="str">
            <v>SLR not in FZ</v>
          </cell>
        </row>
        <row r="1226">
          <cell r="Y1226" t="str">
            <v>Single Family Detached</v>
          </cell>
          <cell r="AG1226">
            <v>0</v>
          </cell>
          <cell r="AH1226">
            <v>10</v>
          </cell>
          <cell r="AJ1226">
            <v>0.13953148796372819</v>
          </cell>
          <cell r="AK1226" t="str">
            <v>SLR not in FZ</v>
          </cell>
        </row>
        <row r="1227">
          <cell r="Y1227" t="str">
            <v>Single Family Detached</v>
          </cell>
          <cell r="AG1227">
            <v>0</v>
          </cell>
          <cell r="AH1227">
            <v>10</v>
          </cell>
          <cell r="AJ1227">
            <v>0.12548429597543617</v>
          </cell>
          <cell r="AK1227" t="str">
            <v>SLR not in FZ</v>
          </cell>
        </row>
        <row r="1228">
          <cell r="Y1228" t="str">
            <v>Single Family Detached</v>
          </cell>
          <cell r="AG1228">
            <v>0</v>
          </cell>
          <cell r="AH1228">
            <v>10</v>
          </cell>
          <cell r="AJ1228">
            <v>0.12834916711179983</v>
          </cell>
          <cell r="AK1228" t="str">
            <v>SLR not in FZ</v>
          </cell>
        </row>
        <row r="1229">
          <cell r="Y1229" t="str">
            <v>Single Family Detached</v>
          </cell>
          <cell r="AG1229">
            <v>0</v>
          </cell>
          <cell r="AH1229">
            <v>10</v>
          </cell>
          <cell r="AJ1229">
            <v>0.13114734855325988</v>
          </cell>
          <cell r="AK1229" t="str">
            <v>SLR not in FZ</v>
          </cell>
        </row>
        <row r="1230">
          <cell r="Y1230" t="str">
            <v>Single Family Detached</v>
          </cell>
          <cell r="AG1230">
            <v>0</v>
          </cell>
          <cell r="AH1230">
            <v>10</v>
          </cell>
          <cell r="AJ1230">
            <v>0.13069760107759412</v>
          </cell>
          <cell r="AK1230" t="str">
            <v>SLR not in FZ</v>
          </cell>
        </row>
        <row r="1231">
          <cell r="Y1231" t="str">
            <v>Single Family Detached</v>
          </cell>
          <cell r="AG1231">
            <v>0</v>
          </cell>
          <cell r="AH1231">
            <v>10</v>
          </cell>
          <cell r="AJ1231">
            <v>0.12720047585629018</v>
          </cell>
          <cell r="AK1231" t="str">
            <v>SLR not in FZ</v>
          </cell>
        </row>
        <row r="1232">
          <cell r="Y1232" t="str">
            <v>Single Family Detached</v>
          </cell>
          <cell r="AG1232">
            <v>0</v>
          </cell>
          <cell r="AH1232">
            <v>10</v>
          </cell>
          <cell r="AJ1232">
            <v>0.13107064375688707</v>
          </cell>
          <cell r="AK1232" t="str">
            <v>SLR not in FZ</v>
          </cell>
        </row>
        <row r="1233">
          <cell r="Y1233" t="str">
            <v>Single Family Detached</v>
          </cell>
          <cell r="AG1233">
            <v>0</v>
          </cell>
          <cell r="AH1233">
            <v>10</v>
          </cell>
          <cell r="AJ1233">
            <v>0.12336015840702479</v>
          </cell>
          <cell r="AK1233" t="str">
            <v>SLR not in FZ</v>
          </cell>
        </row>
        <row r="1234">
          <cell r="Y1234" t="str">
            <v>Single Family Detached</v>
          </cell>
          <cell r="AG1234">
            <v>0</v>
          </cell>
          <cell r="AH1234">
            <v>10</v>
          </cell>
          <cell r="AJ1234">
            <v>0.1571183196701102</v>
          </cell>
          <cell r="AK1234" t="str">
            <v>SLR not in FZ</v>
          </cell>
        </row>
        <row r="1235">
          <cell r="Y1235" t="str">
            <v>Single Family Detached</v>
          </cell>
          <cell r="AG1235">
            <v>0</v>
          </cell>
          <cell r="AH1235">
            <v>10</v>
          </cell>
          <cell r="AJ1235">
            <v>0.12989445851423323</v>
          </cell>
          <cell r="AK1235" t="str">
            <v>SLR not in FZ</v>
          </cell>
        </row>
        <row r="1236">
          <cell r="Y1236" t="str">
            <v>Single Family Vacant</v>
          </cell>
          <cell r="AG1236">
            <v>0</v>
          </cell>
          <cell r="AH1236">
            <v>10</v>
          </cell>
          <cell r="AJ1236">
            <v>0.13869572541597797</v>
          </cell>
          <cell r="AK1236" t="str">
            <v>SLR not in FZ</v>
          </cell>
        </row>
        <row r="1237">
          <cell r="Y1237" t="str">
            <v>Single Family Vacant</v>
          </cell>
          <cell r="AG1237">
            <v>0</v>
          </cell>
          <cell r="AH1237">
            <v>10</v>
          </cell>
          <cell r="AJ1237">
            <v>0.12626509064210284</v>
          </cell>
          <cell r="AK1237" t="str">
            <v>SLR not in FZ</v>
          </cell>
        </row>
        <row r="1238">
          <cell r="Y1238" t="str">
            <v>Single Family Vacant</v>
          </cell>
          <cell r="AG1238">
            <v>0</v>
          </cell>
          <cell r="AH1238">
            <v>10</v>
          </cell>
          <cell r="AJ1238">
            <v>0.12919781331864097</v>
          </cell>
          <cell r="AK1238" t="str">
            <v>SLR not in FZ</v>
          </cell>
        </row>
        <row r="1239">
          <cell r="Y1239" t="str">
            <v>Single Family Vacant</v>
          </cell>
          <cell r="AG1239">
            <v>0</v>
          </cell>
          <cell r="AH1239">
            <v>10</v>
          </cell>
          <cell r="AJ1239">
            <v>0.12534257249127639</v>
          </cell>
          <cell r="AK1239" t="str">
            <v>SLR not in FZ</v>
          </cell>
        </row>
        <row r="1240">
          <cell r="Y1240" t="str">
            <v>Single Family Vacant</v>
          </cell>
          <cell r="AG1240">
            <v>0</v>
          </cell>
          <cell r="AH1240">
            <v>10</v>
          </cell>
          <cell r="AJ1240">
            <v>0.13001384001629937</v>
          </cell>
          <cell r="AK1240" t="str">
            <v>SLR not in FZ</v>
          </cell>
        </row>
        <row r="1241">
          <cell r="Y1241" t="str">
            <v>Single Family Vacant</v>
          </cell>
          <cell r="AG1241">
            <v>0</v>
          </cell>
          <cell r="AH1241">
            <v>10</v>
          </cell>
          <cell r="AJ1241">
            <v>0.15835768290174473</v>
          </cell>
          <cell r="AK1241" t="str">
            <v>SLR not in FZ</v>
          </cell>
        </row>
        <row r="1242">
          <cell r="Y1242" t="str">
            <v>Single Family Detached</v>
          </cell>
          <cell r="AG1242">
            <v>0</v>
          </cell>
          <cell r="AH1242">
            <v>10</v>
          </cell>
          <cell r="AJ1242">
            <v>0.14298043053879705</v>
          </cell>
          <cell r="AK1242" t="str">
            <v>SLR not in FZ</v>
          </cell>
        </row>
        <row r="1243">
          <cell r="Y1243" t="str">
            <v>Single Family Vacant</v>
          </cell>
          <cell r="AG1243">
            <v>0</v>
          </cell>
          <cell r="AH1243">
            <v>10</v>
          </cell>
          <cell r="AJ1243">
            <v>0.12946493269375572</v>
          </cell>
          <cell r="AK1243" t="str">
            <v>SLR not in FZ</v>
          </cell>
        </row>
        <row r="1244">
          <cell r="Y1244" t="str">
            <v>Single Family Vacant</v>
          </cell>
          <cell r="AG1244">
            <v>0</v>
          </cell>
          <cell r="AH1244">
            <v>10</v>
          </cell>
          <cell r="AJ1244">
            <v>0.12251895257231406</v>
          </cell>
          <cell r="AK1244" t="str">
            <v>SLR not in FZ</v>
          </cell>
        </row>
        <row r="1245">
          <cell r="Y1245" t="str">
            <v>Single Family Detached</v>
          </cell>
          <cell r="AG1245">
            <v>0</v>
          </cell>
          <cell r="AH1245">
            <v>10</v>
          </cell>
          <cell r="AJ1245">
            <v>0.12721287625688704</v>
          </cell>
          <cell r="AK1245" t="str">
            <v>SLR not in FZ</v>
          </cell>
        </row>
        <row r="1246">
          <cell r="Y1246" t="str">
            <v>Single Family Detached</v>
          </cell>
          <cell r="AG1246">
            <v>0</v>
          </cell>
          <cell r="AH1246">
            <v>10</v>
          </cell>
          <cell r="AJ1246">
            <v>0.1244129766154729</v>
          </cell>
          <cell r="AK1246" t="str">
            <v>SLR not in FZ</v>
          </cell>
        </row>
        <row r="1247">
          <cell r="Y1247" t="str">
            <v>Single Family Detached</v>
          </cell>
          <cell r="AG1247">
            <v>0</v>
          </cell>
          <cell r="AH1247">
            <v>10</v>
          </cell>
          <cell r="AJ1247">
            <v>0.1259433703422865</v>
          </cell>
          <cell r="AK1247" t="str">
            <v>SLR not in FZ</v>
          </cell>
        </row>
        <row r="1248">
          <cell r="Y1248" t="str">
            <v>Single Family Detached</v>
          </cell>
          <cell r="AG1248">
            <v>0</v>
          </cell>
          <cell r="AH1248">
            <v>10</v>
          </cell>
          <cell r="AJ1248">
            <v>0.12279532413062443</v>
          </cell>
          <cell r="AK1248" t="str">
            <v>SLR not in FZ</v>
          </cell>
        </row>
        <row r="1249">
          <cell r="Y1249" t="str">
            <v>Single Family Detached</v>
          </cell>
          <cell r="AG1249">
            <v>0</v>
          </cell>
          <cell r="AH1249">
            <v>10</v>
          </cell>
          <cell r="AJ1249">
            <v>0.12304891399724517</v>
          </cell>
          <cell r="AK1249" t="str">
            <v>SLR not in FZ</v>
          </cell>
        </row>
        <row r="1250">
          <cell r="Y1250" t="str">
            <v>Single Family Detached</v>
          </cell>
          <cell r="AG1250">
            <v>0</v>
          </cell>
          <cell r="AH1250">
            <v>10</v>
          </cell>
          <cell r="AJ1250">
            <v>0.12847056474632693</v>
          </cell>
          <cell r="AK1250" t="str">
            <v>SLR not in FZ</v>
          </cell>
        </row>
        <row r="1251">
          <cell r="Y1251" t="str">
            <v>Single Family Detached</v>
          </cell>
          <cell r="AG1251">
            <v>0</v>
          </cell>
          <cell r="AH1251">
            <v>10</v>
          </cell>
          <cell r="AJ1251">
            <v>0.12620254582598714</v>
          </cell>
          <cell r="AK1251" t="str">
            <v>SLR not in FZ</v>
          </cell>
        </row>
        <row r="1252">
          <cell r="Y1252" t="str">
            <v>Single Family Detached</v>
          </cell>
          <cell r="AG1252">
            <v>0</v>
          </cell>
          <cell r="AH1252">
            <v>10</v>
          </cell>
          <cell r="AJ1252">
            <v>0.12575181963246099</v>
          </cell>
          <cell r="AK1252" t="str">
            <v>SLR not in FZ</v>
          </cell>
        </row>
        <row r="1253">
          <cell r="Y1253" t="str">
            <v>Single Family Detached</v>
          </cell>
          <cell r="AG1253">
            <v>0</v>
          </cell>
          <cell r="AH1253">
            <v>10</v>
          </cell>
          <cell r="AJ1253">
            <v>0.13409994413062443</v>
          </cell>
          <cell r="AK1253" t="str">
            <v>SLR not in FZ</v>
          </cell>
        </row>
        <row r="1254">
          <cell r="Y1254" t="str">
            <v>Single Family Detached</v>
          </cell>
          <cell r="AG1254">
            <v>0</v>
          </cell>
          <cell r="AH1254">
            <v>10</v>
          </cell>
          <cell r="AJ1254">
            <v>0.12240371723875115</v>
          </cell>
          <cell r="AK1254" t="str">
            <v>SLR not in FZ</v>
          </cell>
        </row>
        <row r="1255">
          <cell r="Y1255" t="str">
            <v>Single Family Detached</v>
          </cell>
          <cell r="AG1255">
            <v>0</v>
          </cell>
          <cell r="AH1255">
            <v>10</v>
          </cell>
          <cell r="AJ1255">
            <v>0.14737561575114785</v>
          </cell>
          <cell r="AK1255" t="str">
            <v>SLR not in FZ</v>
          </cell>
        </row>
        <row r="1256">
          <cell r="Y1256" t="str">
            <v>Single Family Detached</v>
          </cell>
          <cell r="AG1256">
            <v>6</v>
          </cell>
          <cell r="AH1256">
            <v>10</v>
          </cell>
          <cell r="AJ1256">
            <v>0.10510437742722682</v>
          </cell>
          <cell r="AK1256" t="str">
            <v>SLR not in FZ</v>
          </cell>
        </row>
        <row r="1257">
          <cell r="Y1257" t="str">
            <v>Single Family Detached</v>
          </cell>
          <cell r="AG1257">
            <v>0</v>
          </cell>
          <cell r="AH1257">
            <v>10</v>
          </cell>
          <cell r="AJ1257">
            <v>9.9824346215335175E-2</v>
          </cell>
          <cell r="AK1257" t="str">
            <v>SLR not in FZ</v>
          </cell>
        </row>
        <row r="1258">
          <cell r="Y1258" t="str">
            <v>Single Family Detached</v>
          </cell>
          <cell r="AG1258">
            <v>0</v>
          </cell>
          <cell r="AH1258">
            <v>10</v>
          </cell>
          <cell r="AJ1258">
            <v>6.3630585399449047E-2</v>
          </cell>
          <cell r="AK1258" t="str">
            <v>SLR not in FZ</v>
          </cell>
        </row>
        <row r="1259">
          <cell r="Y1259" t="str">
            <v>Single Family Detached</v>
          </cell>
          <cell r="AG1259">
            <v>0</v>
          </cell>
          <cell r="AH1259">
            <v>10</v>
          </cell>
          <cell r="AJ1259">
            <v>4.8589415174242423E-2</v>
          </cell>
          <cell r="AK1259" t="str">
            <v>SLR not in FZ</v>
          </cell>
        </row>
        <row r="1260">
          <cell r="Y1260" t="str">
            <v>Single Family Vacant</v>
          </cell>
          <cell r="AG1260">
            <v>0</v>
          </cell>
          <cell r="AH1260">
            <v>10</v>
          </cell>
          <cell r="AJ1260">
            <v>7.546873949954086E-2</v>
          </cell>
          <cell r="AK1260" t="str">
            <v>SLR not in FZ</v>
          </cell>
        </row>
        <row r="1261">
          <cell r="Y1261" t="str">
            <v>Single Family Vacant</v>
          </cell>
          <cell r="AG1261">
            <v>0</v>
          </cell>
          <cell r="AH1261">
            <v>10</v>
          </cell>
          <cell r="AJ1261">
            <v>0.11201383545133151</v>
          </cell>
          <cell r="AK1261" t="str">
            <v>SLR not in FZ</v>
          </cell>
        </row>
        <row r="1262">
          <cell r="Y1262" t="str">
            <v>Single Family Detached</v>
          </cell>
          <cell r="AG1262">
            <v>0</v>
          </cell>
          <cell r="AH1262">
            <v>10</v>
          </cell>
          <cell r="AJ1262">
            <v>0.11564252639830121</v>
          </cell>
          <cell r="AK1262" t="str">
            <v>SLR not in FZ</v>
          </cell>
        </row>
        <row r="1263">
          <cell r="Y1263" t="str">
            <v>Single Family Detached</v>
          </cell>
          <cell r="AG1263">
            <v>5</v>
          </cell>
          <cell r="AH1263">
            <v>10</v>
          </cell>
          <cell r="AJ1263">
            <v>3.3069727470844814</v>
          </cell>
          <cell r="AK1263" t="str">
            <v>SLR not in FZ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tabSelected="1" topLeftCell="A36" zoomScale="125" zoomScaleNormal="125" zoomScalePageLayoutView="125" workbookViewId="0">
      <pane xSplit="1" topLeftCell="I1" activePane="topRight" state="frozen"/>
      <selection pane="topRight" activeCell="P64" sqref="P64:P70"/>
    </sheetView>
  </sheetViews>
  <sheetFormatPr baseColWidth="10" defaultRowHeight="14" x14ac:dyDescent="0"/>
  <cols>
    <col min="1" max="1" width="62.33203125" style="15" customWidth="1"/>
    <col min="2" max="2" width="10.83203125" style="4"/>
    <col min="3" max="3" width="10.83203125" style="139"/>
    <col min="4" max="4" width="10.83203125" style="4"/>
    <col min="5" max="5" width="10.83203125" style="139"/>
    <col min="6" max="6" width="10.83203125" style="60"/>
    <col min="7" max="7" width="10.83203125" style="2"/>
    <col min="8" max="8" width="10.83203125" style="4"/>
    <col min="9" max="9" width="11" style="2" bestFit="1" customWidth="1"/>
    <col min="10" max="10" width="10.83203125" style="4"/>
    <col min="11" max="11" width="10.83203125" style="2"/>
    <col min="12" max="12" width="10.83203125" style="4"/>
    <col min="13" max="13" width="10.83203125" style="2"/>
    <col min="14" max="14" width="10.83203125" style="4"/>
    <col min="15" max="15" width="13" style="140" bestFit="1" customWidth="1"/>
    <col min="16" max="16" width="10.83203125" style="4"/>
    <col min="17" max="17" width="10.83203125" style="2"/>
    <col min="18" max="16384" width="10.83203125" style="4"/>
  </cols>
  <sheetData>
    <row r="2" spans="1:20">
      <c r="A2" s="1" t="s">
        <v>1587</v>
      </c>
    </row>
    <row r="3" spans="1:20" s="8" customFormat="1">
      <c r="A3" s="5" t="s">
        <v>1588</v>
      </c>
      <c r="B3" s="61">
        <f>P28+P49+P70</f>
        <v>1262</v>
      </c>
      <c r="C3" s="141"/>
      <c r="E3" s="141"/>
      <c r="F3" s="63"/>
      <c r="G3" s="62"/>
      <c r="I3" s="62"/>
      <c r="K3" s="62"/>
      <c r="M3" s="62"/>
      <c r="O3" s="142"/>
      <c r="Q3" s="62"/>
    </row>
    <row r="4" spans="1:20" s="8" customFormat="1">
      <c r="A4" s="5" t="s">
        <v>1589</v>
      </c>
      <c r="B4" s="6">
        <f>Q28+Q49+Q70</f>
        <v>148.3496627173781</v>
      </c>
      <c r="C4" s="141"/>
      <c r="E4" s="141"/>
      <c r="F4" s="63"/>
      <c r="G4" s="62"/>
      <c r="I4" s="62"/>
      <c r="K4" s="62"/>
      <c r="M4" s="62"/>
      <c r="O4" s="142"/>
      <c r="Q4" s="62"/>
    </row>
    <row r="5" spans="1:20" s="12" customFormat="1">
      <c r="A5" s="9" t="s">
        <v>2</v>
      </c>
      <c r="C5" s="143"/>
      <c r="E5" s="143"/>
      <c r="F5" s="64"/>
      <c r="G5" s="10"/>
      <c r="I5" s="10"/>
      <c r="K5" s="10"/>
      <c r="M5" s="10"/>
      <c r="O5" s="144"/>
      <c r="Q5" s="10"/>
    </row>
    <row r="6" spans="1:20">
      <c r="A6" s="13" t="s">
        <v>73</v>
      </c>
    </row>
    <row r="7" spans="1:20">
      <c r="A7" s="14" t="s">
        <v>4</v>
      </c>
    </row>
    <row r="11" spans="1:20">
      <c r="A11" s="16" t="s">
        <v>6</v>
      </c>
      <c r="B11" s="65"/>
      <c r="C11" s="145"/>
      <c r="D11" s="65"/>
      <c r="E11" s="145"/>
      <c r="F11" s="66"/>
      <c r="G11" s="17"/>
      <c r="H11" s="65"/>
      <c r="I11" s="39"/>
      <c r="J11" s="18"/>
      <c r="K11" s="39"/>
      <c r="L11" s="18"/>
      <c r="M11" s="39"/>
      <c r="N11" s="18"/>
      <c r="O11" s="146"/>
      <c r="P11" s="65"/>
      <c r="Q11" s="17"/>
      <c r="R11" s="18"/>
      <c r="S11" s="18"/>
      <c r="T11" s="18"/>
    </row>
    <row r="12" spans="1:20" s="21" customFormat="1">
      <c r="A12" s="14"/>
      <c r="B12" s="67" t="s">
        <v>42</v>
      </c>
      <c r="C12" s="147"/>
      <c r="D12" s="68" t="s">
        <v>43</v>
      </c>
      <c r="E12" s="148"/>
      <c r="F12" s="69" t="s">
        <v>44</v>
      </c>
      <c r="G12" s="20"/>
      <c r="H12" s="68" t="s">
        <v>45</v>
      </c>
      <c r="I12" s="20"/>
      <c r="J12" s="68" t="s">
        <v>46</v>
      </c>
      <c r="K12" s="20"/>
      <c r="L12" s="68" t="s">
        <v>47</v>
      </c>
      <c r="M12" s="20"/>
      <c r="N12" s="68" t="s">
        <v>48</v>
      </c>
      <c r="O12" s="149"/>
      <c r="P12" s="68" t="s">
        <v>49</v>
      </c>
      <c r="Q12" s="20"/>
      <c r="R12" s="18"/>
      <c r="S12" s="18"/>
      <c r="T12" s="18"/>
    </row>
    <row r="13" spans="1:20" s="21" customFormat="1">
      <c r="A13" s="22"/>
      <c r="B13" s="70" t="s">
        <v>50</v>
      </c>
      <c r="C13" s="147" t="s">
        <v>51</v>
      </c>
      <c r="D13" s="71" t="s">
        <v>50</v>
      </c>
      <c r="E13" s="150" t="s">
        <v>51</v>
      </c>
      <c r="F13" s="72" t="s">
        <v>50</v>
      </c>
      <c r="G13" s="24" t="s">
        <v>51</v>
      </c>
      <c r="H13" s="71" t="s">
        <v>50</v>
      </c>
      <c r="I13" s="24" t="s">
        <v>51</v>
      </c>
      <c r="J13" s="71" t="s">
        <v>50</v>
      </c>
      <c r="K13" s="24" t="s">
        <v>51</v>
      </c>
      <c r="L13" s="71" t="s">
        <v>50</v>
      </c>
      <c r="M13" s="24" t="s">
        <v>51</v>
      </c>
      <c r="N13" s="71" t="s">
        <v>50</v>
      </c>
      <c r="O13" s="151" t="s">
        <v>51</v>
      </c>
      <c r="P13" s="71" t="s">
        <v>50</v>
      </c>
      <c r="Q13" s="24" t="s">
        <v>51</v>
      </c>
      <c r="R13" s="18"/>
      <c r="S13" s="18"/>
      <c r="T13" s="18"/>
    </row>
    <row r="14" spans="1:20">
      <c r="A14" s="152" t="s">
        <v>1590</v>
      </c>
      <c r="B14" s="74">
        <f>COUNTIFS('[7]SingleFam - shrt fields'!AK:AK, "FZ no SLR", '[7]SingleFam - shrt fields'!Y:Y, "Single Family Attached")</f>
        <v>4</v>
      </c>
      <c r="C14" s="147">
        <f>SUMIFS('[7]SingleFam - shrt fields'!AJ:AJ,'[7]SingleFam - shrt fields'!AK:AK, "FZ no SLR", '[7]SingleFam - shrt fields'!Y:Y, "Single Family Attached")</f>
        <v>0.57587040619696961</v>
      </c>
      <c r="D14" s="75">
        <f>COUNTIFS('[7]SingleFam - shrt fields'!AK:AK, "FZ with SLR", '[7]SingleFam - shrt fields'!Y:Y, "Single Family Attached", '[7]SingleFam - shrt fields'!AG:AG, 0)</f>
        <v>0</v>
      </c>
      <c r="E14" s="148">
        <f>SUMIFS('[7]SingleFam - shrt fields'!AJ:AJ,'[7]SingleFam - shrt fields'!AK:AK, "FZ with SLR", '[7]SingleFam - shrt fields'!Y:Y, "Single Family Attached", '[7]SingleFam - shrt fields'!AG:AG,0)</f>
        <v>0</v>
      </c>
      <c r="F14" s="76">
        <f>COUNTIFS('[7]SingleFam - shrt fields'!AK:AK, "FZ with SLR", '[7]SingleFam - shrt fields'!Y:Y, "Single Family Attached", '[7]SingleFam - shrt fields'!AG:AG, 1)</f>
        <v>0</v>
      </c>
      <c r="G14" s="76">
        <f>SUMIFS('[7]SingleFam - shrt fields'!AJ:AJ,'[7]SingleFam - shrt fields'!AK:AK, "FZ with SLR", '[7]SingleFam - shrt fields'!Y:Y, "Single Family Attached", '[7]SingleFam - shrt fields'!AG:AG,1)</f>
        <v>0</v>
      </c>
      <c r="H14" s="76">
        <f>COUNTIFS('[7]SingleFam - shrt fields'!AK:AK, "FZ with SLR", '[7]SingleFam - shrt fields'!Y:Y, "Single Family Attached", '[7]SingleFam - shrt fields'!AG:AG, 2)</f>
        <v>0</v>
      </c>
      <c r="I14" s="76">
        <f>SUMIFS('[7]SingleFam - shrt fields'!AJ:AJ,'[7]SingleFam - shrt fields'!AK:AK, "FZ with SLR", '[7]SingleFam - shrt fields'!Y:Y, "Single Family Attached", '[7]SingleFam - shrt fields'!AG:AG,2)</f>
        <v>0</v>
      </c>
      <c r="J14" s="76">
        <f>COUNTIFS('[7]SingleFam - shrt fields'!AK:AK, "FZ with SLR", '[7]SingleFam - shrt fields'!Y:Y, "Single Family Attached", '[7]SingleFam - shrt fields'!AG:AG, 3)</f>
        <v>0</v>
      </c>
      <c r="K14" s="76">
        <f>SUMIFS('[7]SingleFam - shrt fields'!AJ:AJ,'[7]SingleFam - shrt fields'!AK:AK, "FZ with SLR", '[7]SingleFam - shrt fields'!Y:Y, "Single Family Attached", '[7]SingleFam - shrt fields'!AG:AG,3)</f>
        <v>0</v>
      </c>
      <c r="L14" s="76">
        <f>COUNTIFS('[7]SingleFam - shrt fields'!AK:AK, "FZ with SLR", '[7]SingleFam - shrt fields'!Y:Y, "Single Family Attached", '[7]SingleFam - shrt fields'!AG:AG, 4)</f>
        <v>0</v>
      </c>
      <c r="M14" s="76">
        <f>SUMIFS('[7]SingleFam - shrt fields'!AJ:AJ,'[7]SingleFam - shrt fields'!AK:AK, "FZ with SLR", '[7]SingleFam - shrt fields'!Y:Y, "Single Family Attached", '[7]SingleFam - shrt fields'!AG:AG,4)</f>
        <v>0</v>
      </c>
      <c r="N14" s="75">
        <f>COUNTIFS('[7]SingleFam - shrt fields'!AK:AK, "FZ with SLR", '[7]SingleFam - shrt fields'!Y:Y, "Single Family Attached", '[7]SingleFam - shrt fields'!AG:AG, 5)</f>
        <v>0</v>
      </c>
      <c r="O14" s="149">
        <f>SUMIFS('[7]SingleFam - shrt fields'!AJ:AJ,'[7]SingleFam - shrt fields'!AK:AK, "FZ with SLR", '[7]SingleFam - shrt fields'!Y:Y, "Single Family Attached", '[7]SingleFam - shrt fields'!AG:AG,5)</f>
        <v>0</v>
      </c>
      <c r="P14" s="75">
        <f>COUNTIFS('[7]SingleFam - shrt fields'!AK:AK, "FZ with SLR", '[7]SingleFam - shrt fields'!Y:Y, "Single Family Attached", '[7]SingleFam - shrt fields'!AG:AG, 6)</f>
        <v>31</v>
      </c>
      <c r="Q14" s="20">
        <f>SUMIFS('[7]SingleFam - shrt fields'!AJ:AJ,'[7]SingleFam - shrt fields'!AK:AK, "FZ with SLR", '[7]SingleFam - shrt fields'!Y:Y, "Single Family Attached", '[7]SingleFam - shrt fields'!AG:AG,6)</f>
        <v>3.1582279907047752</v>
      </c>
      <c r="R14" s="18"/>
      <c r="S14" s="18"/>
      <c r="T14" s="18"/>
    </row>
    <row r="15" spans="1:20">
      <c r="A15" s="152" t="s">
        <v>1591</v>
      </c>
      <c r="B15" s="74">
        <f>COUNTIFS('[7]SingleFam - shrt fields'!AK:AK, "FZ no SLR", '[7]SingleFam - shrt fields'!Y:Y, "Single Family Detached")</f>
        <v>323</v>
      </c>
      <c r="C15" s="147">
        <f>SUMIFS('[7]SingleFam - shrt fields'!AJ:AJ,'[7]SingleFam - shrt fields'!AK:AK, "FZ no SLR", '[7]SingleFam - shrt fields'!Y:Y, "Single Family Detached")</f>
        <v>36.174206545080871</v>
      </c>
      <c r="D15" s="75">
        <f>COUNTIFS('[7]SingleFam - shrt fields'!AK:AK, "FZ with SLR", '[7]SingleFam - shrt fields'!Y:Y, "Single Family Detached", '[7]SingleFam - shrt fields'!AG:AG, 0)</f>
        <v>87</v>
      </c>
      <c r="E15" s="148">
        <f>SUMIFS('[7]SingleFam - shrt fields'!AJ:AJ,'[7]SingleFam - shrt fields'!AK:AK, "FZ with SLR", '[7]SingleFam - shrt fields'!Y:Y, "Single Family Detached", '[7]SingleFam - shrt fields'!AG:AG,0)</f>
        <v>17.786224228400137</v>
      </c>
      <c r="F15" s="76">
        <f>COUNTIFS('[7]SingleFam - shrt fields'!AK:AK, "FZ with SLR", '[7]SingleFam - shrt fields'!Y:Y, "Single Family Detached", '[7]SingleFam - shrt fields'!AG:AG, 1)</f>
        <v>4</v>
      </c>
      <c r="G15" s="76">
        <f>SUMIFS('[7]SingleFam - shrt fields'!AJ:AJ,'[7]SingleFam - shrt fields'!AK:AK, "FZ with SLR", '[7]SingleFam - shrt fields'!Y:Y, "Single Family Detached", '[7]SingleFam - shrt fields'!AG:AG,1)</f>
        <v>0.63757719659504131</v>
      </c>
      <c r="H15" s="76">
        <f>COUNTIFS('[7]SingleFam - shrt fields'!AK:AK, "FZ with SLR", '[7]SingleFam - shrt fields'!Y:Y, "Single Family Detached", '[7]SingleFam - shrt fields'!AG:AG, 2)</f>
        <v>0</v>
      </c>
      <c r="I15" s="76">
        <f>SUMIFS('[7]SingleFam - shrt fields'!AJ:AJ,'[7]SingleFam - shrt fields'!AK:AK, "FZ with SLR", '[7]SingleFam - shrt fields'!Y:Y, "Single Family Detached", '[7]SingleFam - shrt fields'!AG:AG,2)</f>
        <v>0</v>
      </c>
      <c r="J15" s="76">
        <f>COUNTIFS('[7]SingleFam - shrt fields'!AK:AK, "FZ with SLR", '[7]SingleFam - shrt fields'!Y:Y, "Single Family Detached", '[7]SingleFam - shrt fields'!AG:AG, 3)</f>
        <v>1</v>
      </c>
      <c r="K15" s="76">
        <f>SUMIFS('[7]SingleFam - shrt fields'!AJ:AJ,'[7]SingleFam - shrt fields'!AK:AK, "FZ with SLR", '[7]SingleFam - shrt fields'!Y:Y, "Single Family Detached", '[7]SingleFam - shrt fields'!AG:AG,3)</f>
        <v>0.11613050769306703</v>
      </c>
      <c r="L15" s="76">
        <f>COUNTIFS('[7]SingleFam - shrt fields'!AK:AK, "FZ with SLR", '[7]SingleFam - shrt fields'!Y:Y, "Single Family Detached", '[7]SingleFam - shrt fields'!AG:AG, 4)</f>
        <v>0</v>
      </c>
      <c r="M15" s="76">
        <f>SUMIFS('[7]SingleFam - shrt fields'!AJ:AJ,'[7]SingleFam - shrt fields'!AK:AK, "FZ with SLR", '[7]SingleFam - shrt fields'!Y:Y, "Single Family Detached", '[7]SingleFam - shrt fields'!AG:AG,4)</f>
        <v>0</v>
      </c>
      <c r="N15" s="75">
        <f>COUNTIFS('[7]SingleFam - shrt fields'!AK:AK, "FZ with SLR", '[7]SingleFam - shrt fields'!Y:Y, "Single Family Detached", '[7]SingleFam - shrt fields'!AG:AG, 5)</f>
        <v>2</v>
      </c>
      <c r="O15" s="149">
        <f>SUMIFS('[7]SingleFam - shrt fields'!AJ:AJ,'[7]SingleFam - shrt fields'!AK:AK, "FZ with SLR", '[7]SingleFam - shrt fields'!Y:Y, "Single Family Detached", '[7]SingleFam - shrt fields'!AG:AG,5)</f>
        <v>0.24332288546051423</v>
      </c>
      <c r="P15" s="75">
        <f>COUNTIFS('[7]SingleFam - shrt fields'!AK:AK, "FZ with SLR", '[7]SingleFam - shrt fields'!Y:Y, "Single Family Detached", '[7]SingleFam - shrt fields'!AG:AG, 6)</f>
        <v>71</v>
      </c>
      <c r="Q15" s="20">
        <f>SUMIFS('[7]SingleFam - shrt fields'!AJ:AJ,'[7]SingleFam - shrt fields'!AK:AK, "FZ with SLR", '[7]SingleFam - shrt fields'!Y:Y, "Single Family Detached", '[7]SingleFam - shrt fields'!AG:AG,6)</f>
        <v>8.369068031728883</v>
      </c>
      <c r="R15" s="18"/>
      <c r="S15" s="18"/>
      <c r="T15" s="18"/>
    </row>
    <row r="16" spans="1:20">
      <c r="A16" s="152" t="s">
        <v>1592</v>
      </c>
      <c r="B16" s="74">
        <f>COUNTIFS('[7]SingleFam - shrt fields'!AK:AK, "FZ no SLR", '[7]SingleFam - shrt fields'!Y:Y, "Single Family Vacant")</f>
        <v>28</v>
      </c>
      <c r="C16" s="147">
        <f>SUMIFS('[7]SingleFam - shrt fields'!AJ:AJ,'[7]SingleFam - shrt fields'!AK:AK, "FZ no SLR", '[7]SingleFam - shrt fields'!Y:Y, "Single Family Vacant")</f>
        <v>2.7772733091072079</v>
      </c>
      <c r="D16" s="75">
        <f>COUNTIFS('[7]SingleFam - shrt fields'!AK:AK, "FZ with SLR", '[7]SingleFam - shrt fields'!Y:Y, "Single Family Vacant", '[7]SingleFam - shrt fields'!AG:AG, 0)</f>
        <v>17</v>
      </c>
      <c r="E16" s="148">
        <f>SUMIFS('[7]SingleFam - shrt fields'!AJ:AJ,'[7]SingleFam - shrt fields'!AK:AK, "FZ with SLR", '[7]SingleFam - shrt fields'!Y:Y, "Single Family Vacant", '[7]SingleFam - shrt fields'!AG:AG,0)</f>
        <v>2.69527272275023</v>
      </c>
      <c r="F16" s="76">
        <f>COUNTIFS('[7]SingleFam - shrt fields'!AK:AK, "FZ with SLR", '[7]SingleFam - shrt fields'!Y:Y, "Single Family Vacant", '[7]SingleFam - shrt fields'!AG:AG, 1)</f>
        <v>0</v>
      </c>
      <c r="G16" s="76">
        <f>SUMIFS('[7]SingleFam - shrt fields'!AJ:AJ,'[7]SingleFam - shrt fields'!AK:AK, "FZ with SLR", '[7]SingleFam - shrt fields'!Y:Y, "Single Family Vacant", '[7]SingleFam - shrt fields'!AG:AG,1)</f>
        <v>0</v>
      </c>
      <c r="H16" s="76">
        <f>COUNTIFS('[7]SingleFam - shrt fields'!AK:AK, "FZ with SLR", '[7]SingleFam - shrt fields'!Y:Y, "Single Family Vacant", '[7]SingleFam - shrt fields'!AG:AG, 2)</f>
        <v>1</v>
      </c>
      <c r="I16" s="76">
        <f>SUMIFS('[7]SingleFam - shrt fields'!AJ:AJ,'[7]SingleFam - shrt fields'!AK:AK, "FZ with SLR", '[7]SingleFam - shrt fields'!Y:Y, "Single Family Vacant", '[7]SingleFam - shrt fields'!AG:AG,2)</f>
        <v>6.02892034993113E-2</v>
      </c>
      <c r="J16" s="76">
        <f>COUNTIFS('[7]SingleFam - shrt fields'!AK:AK, "FZ with SLR", '[7]SingleFam - shrt fields'!Y:Y, "Single Family Vacant", '[7]SingleFam - shrt fields'!AG:AG, 3)</f>
        <v>0</v>
      </c>
      <c r="K16" s="76">
        <f>SUMIFS('[7]SingleFam - shrt fields'!AJ:AJ,'[7]SingleFam - shrt fields'!AK:AK, "FZ with SLR", '[7]SingleFam - shrt fields'!Y:Y, "Single Family Vacant", '[7]SingleFam - shrt fields'!AG:AG,3)</f>
        <v>0</v>
      </c>
      <c r="L16" s="76">
        <f>COUNTIFS('[7]SingleFam - shrt fields'!AK:AK, "FZ with SLR", '[7]SingleFam - shrt fields'!Y:Y, "Single Family Vacant", '[7]SingleFam - shrt fields'!AG:AG, 4)</f>
        <v>0</v>
      </c>
      <c r="M16" s="76">
        <f>SUMIFS('[7]SingleFam - shrt fields'!AJ:AJ,'[7]SingleFam - shrt fields'!AK:AK, "FZ with SLR", '[7]SingleFam - shrt fields'!Y:Y, "Single Family Vacant", '[7]SingleFam - shrt fields'!AG:AG,4)</f>
        <v>0</v>
      </c>
      <c r="N16" s="75">
        <f>COUNTIFS('[7]SingleFam - shrt fields'!AK:AK, "FZ with SLR", '[7]SingleFam - shrt fields'!Y:Y, "Single Family Vacant", '[7]SingleFam - shrt fields'!AG:AG, 5)</f>
        <v>0</v>
      </c>
      <c r="O16" s="149">
        <f>SUMIFS('[7]SingleFam - shrt fields'!AJ:AJ,'[7]SingleFam - shrt fields'!AK:AK, "FZ with SLR", '[7]SingleFam - shrt fields'!Y:Y, "Single Family Vacant", '[7]SingleFam - shrt fields'!AG:AG,5)</f>
        <v>0</v>
      </c>
      <c r="P16" s="75">
        <f>COUNTIFS('[7]SingleFam - shrt fields'!AK:AK, "FZ with SLR", '[7]SingleFam - shrt fields'!Y:Y, "Single Family Vacant", '[7]SingleFam - shrt fields'!AG:AG, 6)</f>
        <v>1</v>
      </c>
      <c r="Q16" s="20">
        <f>SUMIFS('[7]SingleFam - shrt fields'!AJ:AJ,'[7]SingleFam - shrt fields'!AK:AK, "FZ with SLR", '[7]SingleFam - shrt fields'!Y:Y, "Single Family Vacant", '[7]SingleFam - shrt fields'!AG:AG,6)</f>
        <v>9.1784492882001842E-2</v>
      </c>
      <c r="R16" s="18"/>
      <c r="S16" s="18"/>
      <c r="T16" s="18"/>
    </row>
    <row r="17" spans="1:20">
      <c r="A17" s="152" t="s">
        <v>1593</v>
      </c>
      <c r="B17" s="74">
        <f>COUNTIFS('[7]SingleFam - shrt fields'!AK:AK, "FZ no SLR", '[7]SingleFam - shrt fields'!Y:Y, "Vacant, unbuildable")</f>
        <v>7</v>
      </c>
      <c r="C17" s="147">
        <f>SUMIFS('[7]SingleFam - shrt fields'!AJ:AJ,'[7]SingleFam - shrt fields'!AK:AK, "FZ no SLR", '[7]SingleFam - shrt fields'!Y:Y, "Vacant, unbuildable")</f>
        <v>0.67899497738246095</v>
      </c>
      <c r="D17" s="75">
        <f>COUNTIFS('[7]SingleFam - shrt fields'!AK:AK, "FZ with SLR", '[7]SingleFam - shrt fields'!Y:Y, "Vacant, unbuildable", '[7]SingleFam - shrt fields'!AG:AG, 0)</f>
        <v>0</v>
      </c>
      <c r="E17" s="148">
        <f>SUMIFS('[7]SingleFam - shrt fields'!AJ:AJ,'[7]SingleFam - shrt fields'!AK:AK, "FZ with SLR", '[7]SingleFam - shrt fields'!Y:Y, "Vacant, unbuildable", '[7]SingleFam - shrt fields'!AG:AG,0)</f>
        <v>0</v>
      </c>
      <c r="F17" s="76">
        <f>COUNTIFS('[7]SingleFam - shrt fields'!AK:AK, "FZ with SLR", '[7]SingleFam - shrt fields'!Y:Y, "Vacant, unbuildable", '[7]SingleFam - shrt fields'!AG:AG, 1)</f>
        <v>0</v>
      </c>
      <c r="G17" s="76">
        <f>SUMIFS('[7]SingleFam - shrt fields'!AJ:AJ,'[7]SingleFam - shrt fields'!AK:AK, "FZ with SLR", '[7]SingleFam - shrt fields'!Y:Y, "Vacant, unbuildable", '[7]SingleFam - shrt fields'!AG:AG,1)</f>
        <v>0</v>
      </c>
      <c r="H17" s="76">
        <f>COUNTIFS('[7]SingleFam - shrt fields'!AK:AK, "FZ with SLR", '[7]SingleFam - shrt fields'!Y:Y, "Vacant, unbuildable", '[7]SingleFam - shrt fields'!AG:AG, 2)</f>
        <v>0</v>
      </c>
      <c r="I17" s="76">
        <f>SUMIFS('[7]SingleFam - shrt fields'!AJ:AJ,'[7]SingleFam - shrt fields'!AK:AK, "FZ with SLR", '[7]SingleFam - shrt fields'!Y:Y, "Vacant, unbuildable", '[7]SingleFam - shrt fields'!AG:AG,2)</f>
        <v>0</v>
      </c>
      <c r="J17" s="76">
        <f>COUNTIFS('[7]SingleFam - shrt fields'!AK:AK, "FZ with SLR", '[7]SingleFam - shrt fields'!Y:Y, "Vacant, unbuildable", '[7]SingleFam - shrt fields'!AG:AG, 3)</f>
        <v>0</v>
      </c>
      <c r="K17" s="76">
        <f>SUMIFS('[7]SingleFam - shrt fields'!AJ:AJ,'[7]SingleFam - shrt fields'!AK:AK, "FZ with SLR", '[7]SingleFam - shrt fields'!Y:Y, "Vacant, unbuildable", '[7]SingleFam - shrt fields'!AG:AG,3)</f>
        <v>0</v>
      </c>
      <c r="L17" s="76">
        <f>COUNTIFS('[7]SingleFam - shrt fields'!AK:AK, "FZ with SLR", '[7]SingleFam - shrt fields'!Y:Y, "Vacant, unbuildable", '[7]SingleFam - shrt fields'!AG:AG, 4)</f>
        <v>0</v>
      </c>
      <c r="M17" s="76">
        <f>SUMIFS('[7]SingleFam - shrt fields'!AJ:AJ,'[7]SingleFam - shrt fields'!AK:AK, "FZ with SLR", '[7]SingleFam - shrt fields'!Y:Y, "Vacant, unbuildable", '[7]SingleFam - shrt fields'!AG:AG,4)</f>
        <v>0</v>
      </c>
      <c r="N17" s="75">
        <f>COUNTIFS('[7]SingleFam - shrt fields'!AK:AK, "FZ with SLR", '[7]SingleFam - shrt fields'!Y:Y, "Vacant, unbuildable", '[7]SingleFam - shrt fields'!AG:AG, 5)</f>
        <v>0</v>
      </c>
      <c r="O17" s="149">
        <f>SUMIFS('[7]SingleFam - shrt fields'!AJ:AJ,'[7]SingleFam - shrt fields'!AK:AK, "FZ with SLR", '[7]SingleFam - shrt fields'!Y:Y, "Vacant, unbuildable", '[7]SingleFam - shrt fields'!AG:AG,5)</f>
        <v>0</v>
      </c>
      <c r="P17" s="75">
        <f>COUNTIFS('[7]SingleFam - shrt fields'!AK:AK, "FZ with SLR", '[7]SingleFam - shrt fields'!Y:Y, "Vacant, unbuildable", '[7]SingleFam - shrt fields'!AG:AG, 6)</f>
        <v>0</v>
      </c>
      <c r="Q17" s="20">
        <f>SUMIFS('[7]SingleFam - shrt fields'!AJ:AJ,'[7]SingleFam - shrt fields'!AK:AK, "FZ with SLR", '[7]SingleFam - shrt fields'!Y:Y, "Vacant, unbuildable", '[7]SingleFam - shrt fields'!AG:AG,6)</f>
        <v>0</v>
      </c>
      <c r="R17" s="18"/>
      <c r="S17" s="18"/>
      <c r="T17" s="18"/>
    </row>
    <row r="18" spans="1:20" s="32" customFormat="1">
      <c r="A18" s="29" t="s">
        <v>19</v>
      </c>
      <c r="B18" s="81">
        <f t="shared" ref="B18:Q18" si="0">SUM(B14:B17)</f>
        <v>362</v>
      </c>
      <c r="C18" s="154">
        <f t="shared" si="0"/>
        <v>40.206345237767508</v>
      </c>
      <c r="D18" s="155">
        <f t="shared" si="0"/>
        <v>104</v>
      </c>
      <c r="E18" s="156">
        <f t="shared" si="0"/>
        <v>20.481496951150366</v>
      </c>
      <c r="F18" s="155">
        <f t="shared" si="0"/>
        <v>4</v>
      </c>
      <c r="G18" s="31">
        <f t="shared" si="0"/>
        <v>0.63757719659504131</v>
      </c>
      <c r="H18" s="155">
        <f t="shared" si="0"/>
        <v>1</v>
      </c>
      <c r="I18" s="31">
        <f t="shared" si="0"/>
        <v>6.02892034993113E-2</v>
      </c>
      <c r="J18" s="155">
        <f t="shared" si="0"/>
        <v>1</v>
      </c>
      <c r="K18" s="31">
        <f t="shared" si="0"/>
        <v>0.11613050769306703</v>
      </c>
      <c r="L18" s="155">
        <f t="shared" si="0"/>
        <v>0</v>
      </c>
      <c r="M18" s="31">
        <f t="shared" si="0"/>
        <v>0</v>
      </c>
      <c r="N18" s="155">
        <f t="shared" si="0"/>
        <v>2</v>
      </c>
      <c r="O18" s="157">
        <f t="shared" si="0"/>
        <v>0.24332288546051423</v>
      </c>
      <c r="P18" s="155">
        <f t="shared" si="0"/>
        <v>103</v>
      </c>
      <c r="Q18" s="31">
        <f t="shared" si="0"/>
        <v>11.619080515315661</v>
      </c>
    </row>
    <row r="19" spans="1:20" s="32" customFormat="1">
      <c r="A19" s="33"/>
      <c r="B19" s="86"/>
      <c r="C19" s="158"/>
      <c r="D19" s="86"/>
      <c r="E19" s="158"/>
      <c r="F19" s="86"/>
      <c r="G19" s="34"/>
      <c r="H19" s="86"/>
      <c r="I19" s="34"/>
      <c r="J19" s="86"/>
      <c r="K19" s="34"/>
      <c r="L19" s="86"/>
      <c r="M19" s="34"/>
      <c r="N19" s="86"/>
      <c r="O19" s="159"/>
      <c r="P19" s="86"/>
      <c r="Q19" s="34"/>
    </row>
    <row r="20" spans="1:20" s="32" customFormat="1">
      <c r="A20" s="5"/>
      <c r="B20" s="86"/>
      <c r="C20" s="158"/>
      <c r="D20" s="86"/>
      <c r="E20" s="158"/>
      <c r="F20" s="87"/>
      <c r="G20" s="34"/>
      <c r="H20" s="86"/>
      <c r="I20" s="34"/>
      <c r="J20" s="86"/>
      <c r="K20" s="34"/>
      <c r="L20" s="86"/>
      <c r="M20" s="34"/>
      <c r="N20" s="86"/>
      <c r="O20" s="159"/>
      <c r="P20" s="86"/>
      <c r="Q20" s="34"/>
    </row>
    <row r="21" spans="1:20">
      <c r="A21" s="35" t="s">
        <v>20</v>
      </c>
      <c r="B21" s="32"/>
      <c r="C21" s="160"/>
      <c r="D21" s="88"/>
      <c r="E21" s="161"/>
      <c r="F21" s="89"/>
      <c r="G21" s="37"/>
      <c r="H21" s="90"/>
      <c r="I21" s="37"/>
      <c r="J21" s="90"/>
      <c r="K21" s="37"/>
      <c r="L21" s="90"/>
      <c r="M21" s="37"/>
      <c r="N21" s="90"/>
      <c r="O21" s="162"/>
      <c r="P21" s="90"/>
      <c r="Q21" s="37"/>
      <c r="R21" s="32"/>
      <c r="S21" s="32"/>
      <c r="T21" s="32"/>
    </row>
    <row r="22" spans="1:20" s="21" customFormat="1">
      <c r="A22" s="38"/>
      <c r="B22" s="18"/>
      <c r="C22" s="163"/>
      <c r="D22" s="68" t="s">
        <v>43</v>
      </c>
      <c r="E22" s="148"/>
      <c r="F22" s="69" t="s">
        <v>44</v>
      </c>
      <c r="G22" s="20"/>
      <c r="H22" s="68" t="s">
        <v>45</v>
      </c>
      <c r="I22" s="20"/>
      <c r="J22" s="68" t="s">
        <v>46</v>
      </c>
      <c r="K22" s="20"/>
      <c r="L22" s="68" t="s">
        <v>47</v>
      </c>
      <c r="M22" s="20"/>
      <c r="N22" s="91" t="s">
        <v>48</v>
      </c>
      <c r="O22" s="164"/>
      <c r="P22" s="91" t="s">
        <v>49</v>
      </c>
      <c r="Q22" s="92"/>
      <c r="R22" s="18"/>
      <c r="S22" s="18"/>
      <c r="T22" s="18"/>
    </row>
    <row r="23" spans="1:20" s="21" customFormat="1">
      <c r="A23" s="38"/>
      <c r="B23" s="18"/>
      <c r="C23" s="163"/>
      <c r="D23" s="93" t="s">
        <v>50</v>
      </c>
      <c r="E23" s="150" t="s">
        <v>51</v>
      </c>
      <c r="F23" s="72" t="s">
        <v>50</v>
      </c>
      <c r="G23" s="24" t="s">
        <v>51</v>
      </c>
      <c r="H23" s="71" t="s">
        <v>50</v>
      </c>
      <c r="I23" s="24" t="s">
        <v>51</v>
      </c>
      <c r="J23" s="71" t="s">
        <v>50</v>
      </c>
      <c r="K23" s="24" t="s">
        <v>51</v>
      </c>
      <c r="L23" s="71" t="s">
        <v>50</v>
      </c>
      <c r="M23" s="24" t="s">
        <v>51</v>
      </c>
      <c r="N23" s="94" t="s">
        <v>50</v>
      </c>
      <c r="O23" s="165" t="s">
        <v>51</v>
      </c>
      <c r="P23" s="94" t="s">
        <v>50</v>
      </c>
      <c r="Q23" s="95" t="s">
        <v>51</v>
      </c>
      <c r="R23" s="18"/>
      <c r="S23" s="18"/>
      <c r="T23" s="18"/>
    </row>
    <row r="24" spans="1:20">
      <c r="A24" s="152" t="s">
        <v>1590</v>
      </c>
      <c r="B24" s="32"/>
      <c r="C24" s="160"/>
      <c r="D24" s="75">
        <f t="shared" ref="D24:E27" si="1">D14+B14</f>
        <v>4</v>
      </c>
      <c r="E24" s="148">
        <f t="shared" si="1"/>
        <v>0.57587040619696961</v>
      </c>
      <c r="F24" s="76">
        <f t="shared" ref="F24:Q27" si="2">F14+D24</f>
        <v>4</v>
      </c>
      <c r="G24" s="20">
        <f t="shared" si="2"/>
        <v>0.57587040619696961</v>
      </c>
      <c r="H24" s="75">
        <f t="shared" si="2"/>
        <v>4</v>
      </c>
      <c r="I24" s="20">
        <f t="shared" si="2"/>
        <v>0.57587040619696961</v>
      </c>
      <c r="J24" s="75">
        <f t="shared" si="2"/>
        <v>4</v>
      </c>
      <c r="K24" s="20">
        <f t="shared" si="2"/>
        <v>0.57587040619696961</v>
      </c>
      <c r="L24" s="75">
        <f t="shared" si="2"/>
        <v>4</v>
      </c>
      <c r="M24" s="20">
        <f t="shared" si="2"/>
        <v>0.57587040619696961</v>
      </c>
      <c r="N24" s="97">
        <f t="shared" si="2"/>
        <v>4</v>
      </c>
      <c r="O24" s="165">
        <f t="shared" si="2"/>
        <v>0.57587040619696961</v>
      </c>
      <c r="P24" s="97">
        <f t="shared" si="2"/>
        <v>35</v>
      </c>
      <c r="Q24" s="95">
        <f t="shared" si="2"/>
        <v>3.7340983969017447</v>
      </c>
      <c r="R24" s="32"/>
      <c r="S24" s="32"/>
      <c r="T24" s="32"/>
    </row>
    <row r="25" spans="1:20">
      <c r="A25" s="152" t="s">
        <v>1591</v>
      </c>
      <c r="B25" s="32"/>
      <c r="C25" s="160"/>
      <c r="D25" s="75">
        <f t="shared" si="1"/>
        <v>410</v>
      </c>
      <c r="E25" s="148">
        <f t="shared" si="1"/>
        <v>53.960430773481008</v>
      </c>
      <c r="F25" s="76">
        <f t="shared" si="2"/>
        <v>414</v>
      </c>
      <c r="G25" s="20">
        <f t="shared" si="2"/>
        <v>54.598007970076047</v>
      </c>
      <c r="H25" s="75">
        <f t="shared" si="2"/>
        <v>414</v>
      </c>
      <c r="I25" s="20">
        <f t="shared" si="2"/>
        <v>54.598007970076047</v>
      </c>
      <c r="J25" s="75">
        <f t="shared" si="2"/>
        <v>415</v>
      </c>
      <c r="K25" s="20">
        <f t="shared" si="2"/>
        <v>54.714138477769112</v>
      </c>
      <c r="L25" s="75">
        <f t="shared" si="2"/>
        <v>415</v>
      </c>
      <c r="M25" s="20">
        <f t="shared" si="2"/>
        <v>54.714138477769112</v>
      </c>
      <c r="N25" s="97">
        <f t="shared" si="2"/>
        <v>417</v>
      </c>
      <c r="O25" s="165">
        <f t="shared" si="2"/>
        <v>54.957461363229626</v>
      </c>
      <c r="P25" s="97">
        <f t="shared" si="2"/>
        <v>488</v>
      </c>
      <c r="Q25" s="95">
        <f t="shared" si="2"/>
        <v>63.326529394958513</v>
      </c>
      <c r="R25" s="32"/>
      <c r="S25" s="32"/>
      <c r="T25" s="32"/>
    </row>
    <row r="26" spans="1:20">
      <c r="A26" s="152" t="s">
        <v>1592</v>
      </c>
      <c r="B26" s="21"/>
      <c r="C26" s="166"/>
      <c r="D26" s="75">
        <f t="shared" si="1"/>
        <v>45</v>
      </c>
      <c r="E26" s="148">
        <f t="shared" si="1"/>
        <v>5.4725460318574379</v>
      </c>
      <c r="F26" s="76">
        <f t="shared" si="2"/>
        <v>45</v>
      </c>
      <c r="G26" s="20">
        <f t="shared" si="2"/>
        <v>5.4725460318574379</v>
      </c>
      <c r="H26" s="75">
        <f t="shared" si="2"/>
        <v>46</v>
      </c>
      <c r="I26" s="20">
        <f t="shared" si="2"/>
        <v>5.5328352353567496</v>
      </c>
      <c r="J26" s="75">
        <f t="shared" si="2"/>
        <v>46</v>
      </c>
      <c r="K26" s="20">
        <f t="shared" si="2"/>
        <v>5.5328352353567496</v>
      </c>
      <c r="L26" s="75">
        <f t="shared" si="2"/>
        <v>46</v>
      </c>
      <c r="M26" s="20">
        <f t="shared" si="2"/>
        <v>5.5328352353567496</v>
      </c>
      <c r="N26" s="97">
        <f t="shared" si="2"/>
        <v>46</v>
      </c>
      <c r="O26" s="165">
        <f t="shared" si="2"/>
        <v>5.5328352353567496</v>
      </c>
      <c r="P26" s="97">
        <f t="shared" si="2"/>
        <v>47</v>
      </c>
      <c r="Q26" s="95">
        <f t="shared" si="2"/>
        <v>5.6246197282387511</v>
      </c>
      <c r="R26" s="18"/>
      <c r="S26" s="18"/>
      <c r="T26" s="18"/>
    </row>
    <row r="27" spans="1:20">
      <c r="A27" s="152" t="s">
        <v>1593</v>
      </c>
      <c r="B27" s="21"/>
      <c r="C27" s="166"/>
      <c r="D27" s="75">
        <f t="shared" si="1"/>
        <v>7</v>
      </c>
      <c r="E27" s="148">
        <f t="shared" si="1"/>
        <v>0.67899497738246095</v>
      </c>
      <c r="F27" s="76">
        <f t="shared" si="2"/>
        <v>7</v>
      </c>
      <c r="G27" s="20">
        <f t="shared" si="2"/>
        <v>0.67899497738246095</v>
      </c>
      <c r="H27" s="75">
        <f t="shared" si="2"/>
        <v>7</v>
      </c>
      <c r="I27" s="20">
        <f t="shared" si="2"/>
        <v>0.67899497738246095</v>
      </c>
      <c r="J27" s="75">
        <f t="shared" si="2"/>
        <v>7</v>
      </c>
      <c r="K27" s="20">
        <f t="shared" si="2"/>
        <v>0.67899497738246095</v>
      </c>
      <c r="L27" s="75">
        <f t="shared" si="2"/>
        <v>7</v>
      </c>
      <c r="M27" s="20">
        <f t="shared" si="2"/>
        <v>0.67899497738246095</v>
      </c>
      <c r="N27" s="167">
        <f t="shared" si="2"/>
        <v>7</v>
      </c>
      <c r="O27" s="168">
        <f t="shared" si="2"/>
        <v>0.67899497738246095</v>
      </c>
      <c r="P27" s="167">
        <f t="shared" si="2"/>
        <v>7</v>
      </c>
      <c r="Q27" s="169">
        <f t="shared" si="2"/>
        <v>0.67899497738246095</v>
      </c>
      <c r="R27" s="18"/>
      <c r="S27" s="18"/>
      <c r="T27" s="18"/>
    </row>
    <row r="28" spans="1:20" s="46" customFormat="1">
      <c r="A28" s="29" t="s">
        <v>19</v>
      </c>
      <c r="B28" s="18"/>
      <c r="C28" s="163"/>
      <c r="D28" s="83">
        <f t="shared" ref="D28:Q28" si="3">SUM(D24:D27)</f>
        <v>466</v>
      </c>
      <c r="E28" s="170">
        <f t="shared" si="3"/>
        <v>60.687842188917877</v>
      </c>
      <c r="F28" s="83">
        <f t="shared" si="3"/>
        <v>470</v>
      </c>
      <c r="G28" s="84">
        <f t="shared" si="3"/>
        <v>61.325419385512916</v>
      </c>
      <c r="H28" s="83">
        <f t="shared" si="3"/>
        <v>471</v>
      </c>
      <c r="I28" s="84">
        <f t="shared" si="3"/>
        <v>61.385708589012225</v>
      </c>
      <c r="J28" s="83">
        <f t="shared" si="3"/>
        <v>472</v>
      </c>
      <c r="K28" s="84">
        <f t="shared" si="3"/>
        <v>61.501839096705289</v>
      </c>
      <c r="L28" s="83">
        <f t="shared" si="3"/>
        <v>472</v>
      </c>
      <c r="M28" s="84">
        <f t="shared" si="3"/>
        <v>61.501839096705289</v>
      </c>
      <c r="N28" s="83">
        <f t="shared" si="3"/>
        <v>474</v>
      </c>
      <c r="O28" s="171">
        <f t="shared" si="3"/>
        <v>61.745161982165804</v>
      </c>
      <c r="P28" s="83">
        <f t="shared" si="3"/>
        <v>577</v>
      </c>
      <c r="Q28" s="84">
        <f t="shared" si="3"/>
        <v>73.36424249748147</v>
      </c>
      <c r="R28" s="18"/>
      <c r="S28" s="18"/>
      <c r="T28" s="18"/>
    </row>
    <row r="29" spans="1:20" s="46" customFormat="1">
      <c r="A29" s="33"/>
      <c r="B29" s="18"/>
      <c r="C29" s="163"/>
      <c r="D29" s="86"/>
      <c r="E29" s="158"/>
      <c r="F29" s="102"/>
      <c r="G29" s="39"/>
      <c r="H29" s="65"/>
      <c r="I29" s="39"/>
      <c r="J29" s="18"/>
      <c r="K29" s="17"/>
      <c r="L29" s="65"/>
      <c r="M29" s="17"/>
      <c r="N29" s="65"/>
      <c r="O29" s="146"/>
      <c r="P29" s="65"/>
      <c r="Q29" s="17"/>
      <c r="R29" s="18"/>
      <c r="S29" s="18"/>
      <c r="T29" s="18"/>
    </row>
    <row r="30" spans="1:20" s="46" customFormat="1">
      <c r="A30" s="33"/>
      <c r="B30" s="18"/>
      <c r="C30" s="163"/>
      <c r="D30" s="86"/>
      <c r="E30" s="158"/>
      <c r="F30" s="102"/>
      <c r="G30" s="39"/>
      <c r="H30" s="65"/>
      <c r="I30" s="39"/>
      <c r="J30" s="18"/>
      <c r="K30" s="17"/>
      <c r="L30" s="65"/>
      <c r="M30" s="17"/>
      <c r="N30" s="65"/>
      <c r="O30" s="146"/>
      <c r="P30" s="65"/>
      <c r="Q30" s="17"/>
      <c r="R30" s="18"/>
      <c r="S30" s="18"/>
      <c r="T30" s="18"/>
    </row>
    <row r="31" spans="1:20" s="46" customFormat="1">
      <c r="A31" s="33"/>
      <c r="B31" s="18"/>
      <c r="C31" s="163"/>
      <c r="D31" s="86"/>
      <c r="E31" s="158"/>
      <c r="F31" s="102"/>
      <c r="G31" s="39"/>
      <c r="H31" s="65"/>
      <c r="I31" s="39"/>
      <c r="J31" s="18"/>
      <c r="K31" s="17"/>
      <c r="L31" s="65"/>
      <c r="M31" s="17"/>
      <c r="N31" s="65"/>
      <c r="O31" s="146"/>
      <c r="P31" s="65"/>
      <c r="Q31" s="17"/>
      <c r="R31" s="355"/>
      <c r="S31" s="355"/>
      <c r="T31" s="355"/>
    </row>
    <row r="32" spans="1:20">
      <c r="A32" s="103" t="s">
        <v>6</v>
      </c>
      <c r="B32" s="21"/>
      <c r="C32" s="166"/>
      <c r="D32" s="21"/>
      <c r="E32" s="166"/>
      <c r="F32" s="172"/>
      <c r="G32" s="51"/>
      <c r="H32" s="65"/>
      <c r="I32" s="39"/>
      <c r="J32" s="18"/>
      <c r="K32" s="17"/>
      <c r="L32" s="65"/>
      <c r="M32" s="17"/>
      <c r="N32" s="65"/>
      <c r="O32" s="146"/>
      <c r="P32" s="65"/>
      <c r="Q32" s="17"/>
      <c r="R32" s="355"/>
      <c r="S32" s="355"/>
      <c r="T32" s="355"/>
    </row>
    <row r="33" spans="1:20" s="21" customFormat="1">
      <c r="A33" s="14"/>
      <c r="D33" s="106" t="s">
        <v>56</v>
      </c>
      <c r="E33" s="173"/>
      <c r="F33" s="106" t="s">
        <v>57</v>
      </c>
      <c r="G33" s="173"/>
      <c r="H33" s="107" t="s">
        <v>58</v>
      </c>
      <c r="I33" s="105"/>
      <c r="J33" s="106" t="s">
        <v>59</v>
      </c>
      <c r="K33" s="105"/>
      <c r="L33" s="106" t="s">
        <v>60</v>
      </c>
      <c r="M33" s="105"/>
      <c r="N33" s="106" t="s">
        <v>61</v>
      </c>
      <c r="O33" s="105"/>
      <c r="P33" s="106" t="s">
        <v>62</v>
      </c>
      <c r="Q33" s="174"/>
      <c r="R33" s="356"/>
      <c r="S33" s="357"/>
      <c r="T33" s="355"/>
    </row>
    <row r="34" spans="1:20" s="21" customFormat="1">
      <c r="A34" s="14"/>
      <c r="D34" s="118" t="s">
        <v>50</v>
      </c>
      <c r="E34" s="175" t="s">
        <v>51</v>
      </c>
      <c r="F34" s="108" t="s">
        <v>50</v>
      </c>
      <c r="G34" s="175" t="s">
        <v>51</v>
      </c>
      <c r="H34" s="110" t="s">
        <v>50</v>
      </c>
      <c r="I34" s="109" t="s">
        <v>51</v>
      </c>
      <c r="J34" s="108" t="s">
        <v>50</v>
      </c>
      <c r="K34" s="109" t="s">
        <v>51</v>
      </c>
      <c r="L34" s="108" t="s">
        <v>50</v>
      </c>
      <c r="M34" s="109" t="s">
        <v>51</v>
      </c>
      <c r="N34" s="108" t="s">
        <v>50</v>
      </c>
      <c r="O34" s="109" t="s">
        <v>51</v>
      </c>
      <c r="P34" s="108" t="s">
        <v>50</v>
      </c>
      <c r="Q34" s="358" t="s">
        <v>51</v>
      </c>
      <c r="R34" s="359"/>
      <c r="S34" s="360"/>
      <c r="T34" s="355"/>
    </row>
    <row r="35" spans="1:20">
      <c r="A35" s="177" t="s">
        <v>1590</v>
      </c>
      <c r="D35" s="113">
        <f>COUNTIFS('[7]SingleFam - shrt fields'!AK:AK, "SLR not in FZ", '[7]SingleFam - shrt fields'!Y:Y, "Single Family Attached", '[7]SingleFam - shrt fields'!AG:AG, 0)</f>
        <v>8</v>
      </c>
      <c r="E35" s="173">
        <f>SUMIFS('[7]SingleFam - shrt fields'!AJ:AJ, '[7]SingleFam - shrt fields'!AK:AK, "SLR not in FZ", '[7]SingleFam - shrt fields'!Y:Y, "Single Family Attached", '[7]SingleFam - shrt fields'!AG:AG, 0)</f>
        <v>1.4149186468048669</v>
      </c>
      <c r="F35" s="111">
        <f>COUNTIFS('[7]SingleFam - shrt fields'!AK:AK, "SLR not in FZ", '[7]SingleFam - shrt fields'!Y:Y, "Single Family Attached", '[7]SingleFam - shrt fields'!AG:AG, 1)</f>
        <v>2</v>
      </c>
      <c r="G35" s="173">
        <f>SUMIFS('[7]SingleFam - shrt fields'!AJ:AJ, '[7]SingleFam - shrt fields'!AK:AK, "SLR not in FZ", '[7]SingleFam - shrt fields'!Y:Y, "Single Family Attached", '[7]SingleFam - shrt fields'!AG:AG, 1)</f>
        <v>0.36124812341689627</v>
      </c>
      <c r="H35" s="112">
        <f>COUNTIFS('[7]SingleFam - shrt fields'!AK:AK, "SLR not in FZ", '[7]SingleFam - shrt fields'!Y:Y, "Single Family Attached", '[7]SingleFam - shrt fields'!AG:AG, 2)</f>
        <v>3</v>
      </c>
      <c r="I35" s="105">
        <f>SUMIFS('[7]SingleFam - shrt fields'!AJ:AJ, '[7]SingleFam - shrt fields'!AK:AK, "SLR not in FZ", '[7]SingleFam - shrt fields'!Y:Y, "Single Family Attached", '[7]SingleFam - shrt fields'!AG:AG, 2)</f>
        <v>0.64851687946143244</v>
      </c>
      <c r="J35" s="113">
        <f>COUNTIFS('[7]SingleFam - shrt fields'!AK:AK, "SLR not in FZ", '[7]SingleFam - shrt fields'!Y:Y, "Single Family Attached", '[7]SingleFam - shrt fields'!AG:AG, 3)</f>
        <v>1</v>
      </c>
      <c r="K35" s="105">
        <f>SUMIFS('[7]SingleFam - shrt fields'!AJ:AJ, '[7]SingleFam - shrt fields'!AK:AK, "SLR not in FZ", '[7]SingleFam - shrt fields'!Y:Y, "Single Family Attached", '[7]SingleFam - shrt fields'!AG:AG, 3)</f>
        <v>0.10747786520798898</v>
      </c>
      <c r="L35" s="113">
        <f>COUNTIFS('[7]SingleFam - shrt fields'!AK:AK, "SLR not in FZ", '[7]SingleFam - shrt fields'!Y:Y, "Single Family Attached", '[7]SingleFam - shrt fields'!AG:AG, 4)</f>
        <v>0</v>
      </c>
      <c r="M35" s="105">
        <f>SUMIFS('[7]SingleFam - shrt fields'!AJ:AJ, '[7]SingleFam - shrt fields'!AK:AK, "SLR not in FZ", '[7]SingleFam - shrt fields'!Y:Y, "Single Family Attached", '[7]SingleFam - shrt fields'!AG:AG, 4)</f>
        <v>0</v>
      </c>
      <c r="N35" s="113">
        <f>COUNTIFS('[7]SingleFam - shrt fields'!AK:AK, "SLR not in FZ", '[7]SingleFam - shrt fields'!Y:Y, "Single Family Attached", '[7]SingleFam - shrt fields'!AG:AG, 5)</f>
        <v>0</v>
      </c>
      <c r="O35" s="105">
        <f>SUMIFS('[7]SingleFam - shrt fields'!AJ:AJ, '[7]SingleFam - shrt fields'!AK:AK, "SLR not in FZ", '[7]SingleFam - shrt fields'!Y:Y, "Single Family Attached", '[7]SingleFam - shrt fields'!AG:AG, 5)</f>
        <v>0</v>
      </c>
      <c r="P35" s="113">
        <f>COUNTIFS('[7]SingleFam - shrt fields'!AK:AK, "SLR not in FZ", '[7]SingleFam - shrt fields'!Y:Y, "Single Family Attached", '[7]SingleFam - shrt fields'!AG:AG, 6)</f>
        <v>0</v>
      </c>
      <c r="Q35" s="174">
        <f>SUMIFS('[7]SingleFam - shrt fields'!AJ:AJ, '[7]SingleFam - shrt fields'!AK:AK, "SLR not in FZ", '[7]SingleFam - shrt fields'!Y:Y, "Single Family Attached", '[7]SingleFam - shrt fields'!AG:AG, 6)</f>
        <v>0</v>
      </c>
      <c r="R35" s="361"/>
      <c r="S35" s="357"/>
      <c r="T35" s="355"/>
    </row>
    <row r="36" spans="1:20">
      <c r="A36" s="178" t="s">
        <v>1591</v>
      </c>
      <c r="D36" s="113">
        <f>COUNTIFS('[7]SingleFam - shrt fields'!AK:AK, "SLR not in FZ", '[7]SingleFam - shrt fields'!Y:Y, "Single Family Detached", '[7]SingleFam - shrt fields'!AG:AG, 0)</f>
        <v>39</v>
      </c>
      <c r="E36" s="173">
        <f>SUMIFS('[7]SingleFam - shrt fields'!AJ:AJ, '[7]SingleFam - shrt fields'!AK:AK, "SLR not in FZ", '[7]SingleFam - shrt fields'!Y:Y, "Single Family Detached", '[7]SingleFam - shrt fields'!AG:AG, 0)</f>
        <v>5.2310220033397625</v>
      </c>
      <c r="F36" s="111">
        <f>COUNTIFS('[7]SingleFam - shrt fields'!AK:AK, "SLR not in FZ", '[7]SingleFam - shrt fields'!Y:Y, "Single Family Detached", '[7]SingleFam - shrt fields'!AG:AG, 1)</f>
        <v>7</v>
      </c>
      <c r="G36" s="173">
        <f>SUMIFS('[7]SingleFam - shrt fields'!AJ:AJ, '[7]SingleFam - shrt fields'!AK:AK, "SLR not in FZ", '[7]SingleFam - shrt fields'!Y:Y, "Single Family Detached", '[7]SingleFam - shrt fields'!AG:AG, 1)</f>
        <v>0.94744617237695139</v>
      </c>
      <c r="H36" s="112">
        <f>COUNTIFS('[7]SingleFam - shrt fields'!AK:AK, "SLR not in FZ", '[7]SingleFam - shrt fields'!Y:Y, "Single Family Detached", '[7]SingleFam - shrt fields'!AG:AG, 2)</f>
        <v>3</v>
      </c>
      <c r="I36" s="105">
        <f>SUMIFS('[7]SingleFam - shrt fields'!AJ:AJ, '[7]SingleFam - shrt fields'!AK:AK, "SLR not in FZ", '[7]SingleFam - shrt fields'!Y:Y, "Single Family Detached", '[7]SingleFam - shrt fields'!AG:AG, 2)</f>
        <v>0.36103883947268134</v>
      </c>
      <c r="J36" s="113">
        <f>COUNTIFS('[7]SingleFam - shrt fields'!AK:AK, "SLR not in FZ", '[7]SingleFam - shrt fields'!Y:Y, "Single Family Detached", '[7]SingleFam - shrt fields'!AG:AG, 3)</f>
        <v>6</v>
      </c>
      <c r="K36" s="105">
        <f>SUMIFS('[7]SingleFam - shrt fields'!AJ:AJ, '[7]SingleFam - shrt fields'!AK:AK, "SLR not in FZ", '[7]SingleFam - shrt fields'!Y:Y, "Single Family Detached", '[7]SingleFam - shrt fields'!AG:AG, 3)</f>
        <v>2.8756435048448123</v>
      </c>
      <c r="L36" s="113">
        <f>COUNTIFS('[7]SingleFam - shrt fields'!AK:AK, "SLR not in FZ", '[7]SingleFam - shrt fields'!Y:Y, "Single Family Detached", '[7]SingleFam - shrt fields'!AG:AG, 4)</f>
        <v>12</v>
      </c>
      <c r="M36" s="105">
        <f>SUMIFS('[7]SingleFam - shrt fields'!AJ:AJ, '[7]SingleFam - shrt fields'!AK:AK, "SLR not in FZ", '[7]SingleFam - shrt fields'!Y:Y, "Single Family Detached", '[7]SingleFam - shrt fields'!AG:AG, 4)</f>
        <v>1.1446508381935032</v>
      </c>
      <c r="N36" s="113">
        <f>COUNTIFS('[7]SingleFam - shrt fields'!AK:AK, "SLR not in FZ", '[7]SingleFam - shrt fields'!Y:Y, "Single Family Detached", '[7]SingleFam - shrt fields'!AG:AG, 5)</f>
        <v>57</v>
      </c>
      <c r="O36" s="105">
        <f>SUMIFS('[7]SingleFam - shrt fields'!AJ:AJ, '[7]SingleFam - shrt fields'!AK:AK, "SLR not in FZ", '[7]SingleFam - shrt fields'!Y:Y, "Single Family Detached", '[7]SingleFam - shrt fields'!AG:AG, 5)</f>
        <v>9.4986512051531236</v>
      </c>
      <c r="P36" s="113">
        <f>COUNTIFS('[7]SingleFam - shrt fields'!AK:AK, "SLR not in FZ", '[7]SingleFam - shrt fields'!Y:Y, "Single Family Detached", '[7]SingleFam - shrt fields'!AG:AG, 6)</f>
        <v>120</v>
      </c>
      <c r="Q36" s="174">
        <f>SUMIFS('[7]SingleFam - shrt fields'!AJ:AJ, '[7]SingleFam - shrt fields'!AK:AK, "SLR not in FZ", '[7]SingleFam - shrt fields'!Y:Y, "Single Family Detached", '[7]SingleFam - shrt fields'!AG:AG, 6)</f>
        <v>11.845693245835173</v>
      </c>
      <c r="R36" s="361"/>
      <c r="S36" s="357"/>
      <c r="T36" s="355"/>
    </row>
    <row r="37" spans="1:20">
      <c r="A37" s="178" t="s">
        <v>1592</v>
      </c>
      <c r="D37" s="113">
        <f>COUNTIFS('[7]SingleFam - shrt fields'!AK:AK, "SLR not in FZ", '[7]SingleFam - shrt fields'!Y:Y, "Single Family Vacant", '[7]SingleFam - shrt fields'!AG:AG, 0)</f>
        <v>17</v>
      </c>
      <c r="E37" s="173">
        <f>SUMIFS('[7]SingleFam - shrt fields'!AJ:AJ, '[7]SingleFam - shrt fields'!AK:AK, "SLR not in FZ", '[7]SingleFam - shrt fields'!Y:Y, "Single Family Vacant", '[7]SingleFam - shrt fields'!AG:AG, 0)</f>
        <v>2.0357805988028006</v>
      </c>
      <c r="F37" s="111">
        <f>COUNTIFS('[7]SingleFam - shrt fields'!AK:AK, "SLR not in FZ", '[7]SingleFam - shrt fields'!Y:Y, "Single Family Vacant", '[7]SingleFam - shrt fields'!AG:AG, 1)</f>
        <v>1</v>
      </c>
      <c r="G37" s="173">
        <f>SUMIFS('[7]SingleFam - shrt fields'!AJ:AJ, '[7]SingleFam - shrt fields'!AK:AK, "SLR not in FZ", '[7]SingleFam - shrt fields'!Y:Y, "Single Family Vacant", '[7]SingleFam - shrt fields'!AG:AG, 1)</f>
        <v>0.12080711355394856</v>
      </c>
      <c r="H37" s="112">
        <f>COUNTIFS('[7]SingleFam - shrt fields'!AK:AK, "SLR not in FZ", '[7]SingleFam - shrt fields'!Y:Y, "Single Family Vacant", '[7]SingleFam - shrt fields'!AG:AG, 2)</f>
        <v>0</v>
      </c>
      <c r="I37" s="105">
        <f>SUMIFS('[7]SingleFam - shrt fields'!AJ:AJ, '[7]SingleFam - shrt fields'!AK:AK, "SLR not in FZ", '[7]SingleFam - shrt fields'!Y:Y, "Single Family Vacant", '[7]SingleFam - shrt fields'!AG:AG, 2)</f>
        <v>0</v>
      </c>
      <c r="J37" s="113">
        <f>COUNTIFS('[7]SingleFam - shrt fields'!AK:AK, "SLR not in FZ", '[7]SingleFam - shrt fields'!Y:Y, "Single Family Vacant", '[7]SingleFam - shrt fields'!AG:AG, 3)</f>
        <v>0</v>
      </c>
      <c r="K37" s="105">
        <f>SUMIFS('[7]SingleFam - shrt fields'!AJ:AJ, '[7]SingleFam - shrt fields'!AK:AK, "SLR not in FZ", '[7]SingleFam - shrt fields'!Y:Y, "Single Family Vacant", '[7]SingleFam - shrt fields'!AG:AG, 3)</f>
        <v>0</v>
      </c>
      <c r="L37" s="113">
        <f>COUNTIFS('[7]SingleFam - shrt fields'!AK:AK, "SLR not in FZ", '[7]SingleFam - shrt fields'!Y:Y, "Single Family Vacant", '[7]SingleFam - shrt fields'!AG:AG, 4)</f>
        <v>0</v>
      </c>
      <c r="M37" s="105">
        <f>SUMIFS('[7]SingleFam - shrt fields'!AJ:AJ, '[7]SingleFam - shrt fields'!AK:AK, "SLR not in FZ", '[7]SingleFam - shrt fields'!Y:Y, "Single Family Vacant", '[7]SingleFam - shrt fields'!AG:AG, 4)</f>
        <v>0</v>
      </c>
      <c r="N37" s="113">
        <f>COUNTIFS('[7]SingleFam - shrt fields'!AK:AK, "SLR not in FZ", '[7]SingleFam - shrt fields'!Y:Y, "Single Family Vacant", '[7]SingleFam - shrt fields'!AG:AG, 5)</f>
        <v>5</v>
      </c>
      <c r="O37" s="105">
        <f>SUMIFS('[7]SingleFam - shrt fields'!AJ:AJ, '[7]SingleFam - shrt fields'!AK:AK, "SLR not in FZ", '[7]SingleFam - shrt fields'!Y:Y, "Single Family Vacant", '[7]SingleFam - shrt fields'!AG:AG, 5)</f>
        <v>0.66797717232943066</v>
      </c>
      <c r="P37" s="113">
        <f>COUNTIFS('[7]SingleFam - shrt fields'!AK:AK, "SLR not in FZ", '[7]SingleFam - shrt fields'!Y:Y, "Single Family Vacant", '[7]SingleFam - shrt fields'!AG:AG, 6)</f>
        <v>4</v>
      </c>
      <c r="Q37" s="174">
        <f>SUMIFS('[7]SingleFam - shrt fields'!AJ:AJ, '[7]SingleFam - shrt fields'!AK:AK, "SLR not in FZ", '[7]SingleFam - shrt fields'!Y:Y, "Single Family Vacant", '[7]SingleFam - shrt fields'!AG:AG, 6)</f>
        <v>0.41151477703741962</v>
      </c>
      <c r="R37" s="361"/>
      <c r="S37" s="357"/>
      <c r="T37" s="355"/>
    </row>
    <row r="38" spans="1:20">
      <c r="A38" s="178" t="s">
        <v>1593</v>
      </c>
      <c r="D38" s="113">
        <f>COUNTIFS('[7]SingleFam - shrt fields'!AK:AK, "SLR not in FZ", '[7]SingleFam - shrt fields'!Y:Y, "Vacant, unbuildable", '[7]SingleFam - shrt fields'!AG:AG, 0)</f>
        <v>1</v>
      </c>
      <c r="E38" s="173">
        <f>SUMIFS('[7]SingleFam - shrt fields'!AJ:AJ, '[7]SingleFam - shrt fields'!AK:AK, "SLR not in FZ", '[7]SingleFam - shrt fields'!Y:Y, "Vacant, unbuildable", '[7]SingleFam - shrt fields'!AG:AG, 0)</f>
        <v>9.059431503925619E-2</v>
      </c>
      <c r="F38" s="111">
        <f>COUNTIFS('[7]SingleFam - shrt fields'!AK:AK, "SLR not in FZ", '[7]SingleFam - shrt fields'!Y:Y, "Vacant, unbuildable", '[7]SingleFam - shrt fields'!AG:AG, 1)</f>
        <v>0</v>
      </c>
      <c r="G38" s="173">
        <f>SUMIFS('[7]SingleFam - shrt fields'!AJ:AJ, '[7]SingleFam - shrt fields'!AK:AK, "SLR not in FZ", '[7]SingleFam - shrt fields'!Y:Y, "Vacant, unbuildable", '[7]SingleFam - shrt fields'!AG:AG, 1)</f>
        <v>0</v>
      </c>
      <c r="H38" s="112">
        <f>COUNTIFS('[7]SingleFam - shrt fields'!AK:AK, "SLR not in FZ", '[7]SingleFam - shrt fields'!Y:Y, "Vacant, unbuildable", '[7]SingleFam - shrt fields'!AG:AG, 2)</f>
        <v>0</v>
      </c>
      <c r="I38" s="105">
        <f>SUMIFS('[7]SingleFam - shrt fields'!AJ:AJ, '[7]SingleFam - shrt fields'!AK:AK, "SLR not in FZ", '[7]SingleFam - shrt fields'!Y:Y, "Vacant, unbuildable", '[7]SingleFam - shrt fields'!AG:AG, 2)</f>
        <v>0</v>
      </c>
      <c r="J38" s="113">
        <f>COUNTIFS('[7]SingleFam - shrt fields'!AK:AK, "SLR not in FZ", '[7]SingleFam - shrt fields'!Y:Y, "Vacant, unbuildable", '[7]SingleFam - shrt fields'!AG:AG, 3)</f>
        <v>0</v>
      </c>
      <c r="K38" s="105">
        <f>SUMIFS('[7]SingleFam - shrt fields'!AJ:AJ, '[7]SingleFam - shrt fields'!AK:AK, "SLR not in FZ", '[7]SingleFam - shrt fields'!Y:Y, "Vacant, unbuildable", '[7]SingleFam - shrt fields'!AG:AG, 3)</f>
        <v>0</v>
      </c>
      <c r="L38" s="113">
        <f>COUNTIFS('[7]SingleFam - shrt fields'!AK:AK, "SLR not in FZ", '[7]SingleFam - shrt fields'!Y:Y, "Vacant, unbuildable", '[7]SingleFam - shrt fields'!AG:AG, 4)</f>
        <v>0</v>
      </c>
      <c r="M38" s="105">
        <f>SUMIFS('[7]SingleFam - shrt fields'!AJ:AJ, '[7]SingleFam - shrt fields'!AK:AK, "SLR not in FZ", '[7]SingleFam - shrt fields'!Y:Y, "Vacant, unbuildable", '[7]SingleFam - shrt fields'!AG:AG, 4)</f>
        <v>0</v>
      </c>
      <c r="N38" s="113">
        <f>COUNTIFS('[7]SingleFam - shrt fields'!AK:AK, "SLR not in FZ", '[7]SingleFam - shrt fields'!Y:Y, "Vacant, unbuildable", '[7]SingleFam - shrt fields'!AG:AG, 5)</f>
        <v>0</v>
      </c>
      <c r="O38" s="105">
        <f>SUMIFS('[7]SingleFam - shrt fields'!AJ:AJ, '[7]SingleFam - shrt fields'!AK:AK, "SLR not in FZ", '[7]SingleFam - shrt fields'!Y:Y, "Vacant, unbuildable", '[7]SingleFam - shrt fields'!AG:AG, 5)</f>
        <v>0</v>
      </c>
      <c r="P38" s="113">
        <f>COUNTIFS('[7]SingleFam - shrt fields'!AK:AK, "SLR not in FZ", '[7]SingleFam - shrt fields'!Y:Y, "Vacant, unbuildable", '[7]SingleFam - shrt fields'!AG:AG, 6)</f>
        <v>1</v>
      </c>
      <c r="Q38" s="174">
        <f>SUMIFS('[7]SingleFam - shrt fields'!AJ:AJ, '[7]SingleFam - shrt fields'!AK:AK, "SLR not in FZ", '[7]SingleFam - shrt fields'!Y:Y, "Vacant, unbuildable", '[7]SingleFam - shrt fields'!AG:AG, 6)</f>
        <v>6.0921536373048674E-2</v>
      </c>
      <c r="R38" s="361"/>
      <c r="S38" s="357"/>
      <c r="T38" s="355"/>
    </row>
    <row r="39" spans="1:20">
      <c r="A39" s="180" t="s">
        <v>19</v>
      </c>
      <c r="D39" s="116">
        <f t="shared" ref="D39:Q39" si="4">SUM(D35:D38)</f>
        <v>65</v>
      </c>
      <c r="E39" s="181">
        <f t="shared" si="4"/>
        <v>8.7723155639866857</v>
      </c>
      <c r="F39" s="116">
        <f t="shared" si="4"/>
        <v>10</v>
      </c>
      <c r="G39" s="181">
        <f t="shared" si="4"/>
        <v>1.4295014093477962</v>
      </c>
      <c r="H39" s="116">
        <f t="shared" si="4"/>
        <v>6</v>
      </c>
      <c r="I39" s="115">
        <f t="shared" si="4"/>
        <v>1.0095557189341138</v>
      </c>
      <c r="J39" s="116">
        <f t="shared" si="4"/>
        <v>7</v>
      </c>
      <c r="K39" s="115">
        <f t="shared" si="4"/>
        <v>2.9831213700528014</v>
      </c>
      <c r="L39" s="116">
        <f t="shared" si="4"/>
        <v>12</v>
      </c>
      <c r="M39" s="115">
        <f t="shared" si="4"/>
        <v>1.1446508381935032</v>
      </c>
      <c r="N39" s="116">
        <f t="shared" si="4"/>
        <v>62</v>
      </c>
      <c r="O39" s="115">
        <f t="shared" si="4"/>
        <v>10.166628377482555</v>
      </c>
      <c r="P39" s="116">
        <f t="shared" si="4"/>
        <v>125</v>
      </c>
      <c r="Q39" s="182">
        <f t="shared" si="4"/>
        <v>12.318129559245643</v>
      </c>
      <c r="R39" s="86"/>
      <c r="S39" s="159"/>
      <c r="T39" s="355"/>
    </row>
    <row r="40" spans="1:20">
      <c r="F40" s="4"/>
      <c r="G40" s="139"/>
      <c r="H40" s="60"/>
      <c r="O40" s="2"/>
      <c r="Q40" s="140"/>
      <c r="R40" s="362"/>
      <c r="S40" s="363"/>
      <c r="T40" s="362"/>
    </row>
    <row r="41" spans="1:20">
      <c r="F41" s="4"/>
      <c r="G41" s="139"/>
      <c r="H41" s="60"/>
      <c r="O41" s="2"/>
      <c r="Q41" s="140"/>
      <c r="R41" s="362"/>
      <c r="S41" s="363"/>
      <c r="T41" s="362"/>
    </row>
    <row r="42" spans="1:20">
      <c r="A42" s="35" t="s">
        <v>20</v>
      </c>
      <c r="F42" s="4"/>
      <c r="G42" s="139"/>
      <c r="H42" s="60"/>
      <c r="O42" s="2"/>
      <c r="Q42" s="140"/>
      <c r="R42" s="362"/>
      <c r="S42" s="363"/>
      <c r="T42" s="362"/>
    </row>
    <row r="43" spans="1:20">
      <c r="A43" s="38"/>
      <c r="F43" s="106" t="s">
        <v>57</v>
      </c>
      <c r="G43" s="173"/>
      <c r="H43" s="107" t="s">
        <v>58</v>
      </c>
      <c r="I43" s="105"/>
      <c r="J43" s="106" t="s">
        <v>59</v>
      </c>
      <c r="K43" s="105"/>
      <c r="L43" s="106" t="s">
        <v>60</v>
      </c>
      <c r="M43" s="105"/>
      <c r="N43" s="106" t="s">
        <v>61</v>
      </c>
      <c r="O43" s="105"/>
      <c r="P43" s="106" t="s">
        <v>62</v>
      </c>
      <c r="Q43" s="174"/>
      <c r="R43" s="356"/>
      <c r="S43" s="357"/>
      <c r="T43" s="362"/>
    </row>
    <row r="44" spans="1:20">
      <c r="A44" s="38"/>
      <c r="F44" s="118" t="s">
        <v>50</v>
      </c>
      <c r="G44" s="175" t="s">
        <v>51</v>
      </c>
      <c r="H44" s="110" t="s">
        <v>50</v>
      </c>
      <c r="I44" s="109" t="s">
        <v>51</v>
      </c>
      <c r="J44" s="108" t="s">
        <v>50</v>
      </c>
      <c r="K44" s="109" t="s">
        <v>51</v>
      </c>
      <c r="L44" s="108" t="s">
        <v>50</v>
      </c>
      <c r="M44" s="109" t="s">
        <v>51</v>
      </c>
      <c r="N44" s="108" t="s">
        <v>50</v>
      </c>
      <c r="O44" s="109" t="s">
        <v>51</v>
      </c>
      <c r="P44" s="108" t="s">
        <v>50</v>
      </c>
      <c r="Q44" s="358" t="s">
        <v>51</v>
      </c>
      <c r="R44" s="359"/>
      <c r="S44" s="360"/>
      <c r="T44" s="362"/>
    </row>
    <row r="45" spans="1:20">
      <c r="A45" s="177" t="s">
        <v>1590</v>
      </c>
      <c r="F45" s="113">
        <f t="shared" ref="F45:G48" si="5">F35+D35</f>
        <v>10</v>
      </c>
      <c r="G45" s="173">
        <f t="shared" si="5"/>
        <v>1.7761667702217632</v>
      </c>
      <c r="H45" s="112">
        <f t="shared" ref="H45:Q48" si="6">H35+F45</f>
        <v>13</v>
      </c>
      <c r="I45" s="105">
        <f t="shared" si="6"/>
        <v>2.4246836496831956</v>
      </c>
      <c r="J45" s="113">
        <f t="shared" si="6"/>
        <v>14</v>
      </c>
      <c r="K45" s="105">
        <f t="shared" si="6"/>
        <v>2.5321615148911847</v>
      </c>
      <c r="L45" s="113">
        <f t="shared" si="6"/>
        <v>14</v>
      </c>
      <c r="M45" s="105">
        <f t="shared" si="6"/>
        <v>2.5321615148911847</v>
      </c>
      <c r="N45" s="113">
        <f t="shared" si="6"/>
        <v>14</v>
      </c>
      <c r="O45" s="105">
        <f t="shared" si="6"/>
        <v>2.5321615148911847</v>
      </c>
      <c r="P45" s="113">
        <f t="shared" si="6"/>
        <v>14</v>
      </c>
      <c r="Q45" s="174">
        <f t="shared" si="6"/>
        <v>2.5321615148911847</v>
      </c>
      <c r="R45" s="361"/>
      <c r="S45" s="357"/>
      <c r="T45" s="362"/>
    </row>
    <row r="46" spans="1:20">
      <c r="A46" s="178" t="s">
        <v>1591</v>
      </c>
      <c r="F46" s="113">
        <f t="shared" si="5"/>
        <v>46</v>
      </c>
      <c r="G46" s="173">
        <f t="shared" si="5"/>
        <v>6.1784681757167137</v>
      </c>
      <c r="H46" s="112">
        <f t="shared" si="6"/>
        <v>49</v>
      </c>
      <c r="I46" s="105">
        <f t="shared" si="6"/>
        <v>6.539507015189395</v>
      </c>
      <c r="J46" s="113">
        <f t="shared" si="6"/>
        <v>55</v>
      </c>
      <c r="K46" s="105">
        <f t="shared" si="6"/>
        <v>9.4151505200342065</v>
      </c>
      <c r="L46" s="113">
        <f t="shared" si="6"/>
        <v>67</v>
      </c>
      <c r="M46" s="105">
        <f t="shared" si="6"/>
        <v>10.559801358227709</v>
      </c>
      <c r="N46" s="113">
        <f t="shared" si="6"/>
        <v>124</v>
      </c>
      <c r="O46" s="105">
        <f t="shared" si="6"/>
        <v>20.058452563380833</v>
      </c>
      <c r="P46" s="113">
        <f t="shared" si="6"/>
        <v>244</v>
      </c>
      <c r="Q46" s="174">
        <f t="shared" si="6"/>
        <v>31.904145809216004</v>
      </c>
      <c r="R46" s="361"/>
      <c r="S46" s="357"/>
      <c r="T46" s="362"/>
    </row>
    <row r="47" spans="1:20">
      <c r="A47" s="178" t="s">
        <v>1592</v>
      </c>
      <c r="F47" s="113">
        <f t="shared" si="5"/>
        <v>18</v>
      </c>
      <c r="G47" s="173">
        <f t="shared" si="5"/>
        <v>2.1565877123567492</v>
      </c>
      <c r="H47" s="112">
        <f t="shared" si="6"/>
        <v>18</v>
      </c>
      <c r="I47" s="105">
        <f t="shared" si="6"/>
        <v>2.1565877123567492</v>
      </c>
      <c r="J47" s="113">
        <f t="shared" si="6"/>
        <v>18</v>
      </c>
      <c r="K47" s="105">
        <f t="shared" si="6"/>
        <v>2.1565877123567492</v>
      </c>
      <c r="L47" s="113">
        <f t="shared" si="6"/>
        <v>18</v>
      </c>
      <c r="M47" s="105">
        <f t="shared" si="6"/>
        <v>2.1565877123567492</v>
      </c>
      <c r="N47" s="113">
        <f t="shared" si="6"/>
        <v>23</v>
      </c>
      <c r="O47" s="105">
        <f t="shared" si="6"/>
        <v>2.8245648846861799</v>
      </c>
      <c r="P47" s="113">
        <f t="shared" si="6"/>
        <v>27</v>
      </c>
      <c r="Q47" s="174">
        <f t="shared" si="6"/>
        <v>3.2360796617235996</v>
      </c>
      <c r="R47" s="361"/>
      <c r="S47" s="357"/>
      <c r="T47" s="362"/>
    </row>
    <row r="48" spans="1:20">
      <c r="A48" s="178" t="s">
        <v>1593</v>
      </c>
      <c r="F48" s="113">
        <f t="shared" si="5"/>
        <v>1</v>
      </c>
      <c r="G48" s="173">
        <f t="shared" si="5"/>
        <v>9.059431503925619E-2</v>
      </c>
      <c r="H48" s="112">
        <f t="shared" si="6"/>
        <v>1</v>
      </c>
      <c r="I48" s="105">
        <f t="shared" si="6"/>
        <v>9.059431503925619E-2</v>
      </c>
      <c r="J48" s="113">
        <f t="shared" si="6"/>
        <v>1</v>
      </c>
      <c r="K48" s="105">
        <f t="shared" si="6"/>
        <v>9.059431503925619E-2</v>
      </c>
      <c r="L48" s="113">
        <f t="shared" si="6"/>
        <v>1</v>
      </c>
      <c r="M48" s="105">
        <f t="shared" si="6"/>
        <v>9.059431503925619E-2</v>
      </c>
      <c r="N48" s="113">
        <f t="shared" si="6"/>
        <v>1</v>
      </c>
      <c r="O48" s="105">
        <f t="shared" si="6"/>
        <v>9.059431503925619E-2</v>
      </c>
      <c r="P48" s="113">
        <f t="shared" si="6"/>
        <v>2</v>
      </c>
      <c r="Q48" s="174">
        <f t="shared" si="6"/>
        <v>0.15151585141230486</v>
      </c>
      <c r="R48" s="361"/>
      <c r="S48" s="357"/>
      <c r="T48" s="362"/>
    </row>
    <row r="49" spans="1:20">
      <c r="A49" s="180" t="s">
        <v>19</v>
      </c>
      <c r="F49" s="116">
        <f t="shared" ref="F49:Q49" si="7">SUM(F45:F48)</f>
        <v>75</v>
      </c>
      <c r="G49" s="181">
        <f t="shared" si="7"/>
        <v>10.201816973334482</v>
      </c>
      <c r="H49" s="116">
        <f t="shared" si="7"/>
        <v>81</v>
      </c>
      <c r="I49" s="115">
        <f t="shared" si="7"/>
        <v>11.211372692268597</v>
      </c>
      <c r="J49" s="116">
        <f t="shared" si="7"/>
        <v>88</v>
      </c>
      <c r="K49" s="115">
        <f t="shared" si="7"/>
        <v>14.194494062321397</v>
      </c>
      <c r="L49" s="116">
        <f t="shared" si="7"/>
        <v>100</v>
      </c>
      <c r="M49" s="115">
        <f t="shared" si="7"/>
        <v>15.339144900514899</v>
      </c>
      <c r="N49" s="116">
        <f t="shared" si="7"/>
        <v>162</v>
      </c>
      <c r="O49" s="115">
        <f t="shared" si="7"/>
        <v>25.505773277997452</v>
      </c>
      <c r="P49" s="116">
        <f t="shared" si="7"/>
        <v>287</v>
      </c>
      <c r="Q49" s="182">
        <f t="shared" si="7"/>
        <v>37.823902837243097</v>
      </c>
      <c r="R49" s="86"/>
      <c r="S49" s="159"/>
      <c r="T49" s="362"/>
    </row>
    <row r="50" spans="1:20">
      <c r="A50" s="183"/>
      <c r="F50" s="4"/>
      <c r="G50" s="139"/>
      <c r="H50" s="60"/>
      <c r="O50" s="2"/>
      <c r="Q50" s="140"/>
      <c r="R50" s="362"/>
      <c r="S50" s="363"/>
      <c r="T50" s="362"/>
    </row>
    <row r="51" spans="1:20">
      <c r="A51" s="183"/>
      <c r="F51" s="4"/>
      <c r="G51" s="139"/>
      <c r="H51" s="60"/>
      <c r="O51" s="2"/>
      <c r="Q51" s="140"/>
      <c r="R51" s="362"/>
      <c r="S51" s="363"/>
      <c r="T51" s="362"/>
    </row>
    <row r="52" spans="1:20">
      <c r="A52" s="183"/>
      <c r="F52" s="4"/>
      <c r="G52" s="139"/>
      <c r="H52" s="60"/>
      <c r="O52" s="2"/>
      <c r="Q52" s="140"/>
      <c r="R52" s="362"/>
      <c r="S52" s="363"/>
      <c r="T52" s="362"/>
    </row>
    <row r="53" spans="1:20" s="8" customFormat="1">
      <c r="A53" s="103" t="s">
        <v>6</v>
      </c>
      <c r="E53" s="141"/>
      <c r="G53" s="141"/>
      <c r="H53" s="63"/>
      <c r="I53" s="62"/>
      <c r="K53" s="62"/>
      <c r="M53" s="62"/>
      <c r="O53" s="62"/>
      <c r="Q53" s="142"/>
      <c r="R53" s="364"/>
      <c r="S53" s="365"/>
      <c r="T53" s="364"/>
    </row>
    <row r="54" spans="1:20">
      <c r="D54" s="119" t="s">
        <v>63</v>
      </c>
      <c r="E54" s="184"/>
      <c r="F54" s="119" t="s">
        <v>64</v>
      </c>
      <c r="G54" s="184"/>
      <c r="H54" s="121" t="s">
        <v>65</v>
      </c>
      <c r="I54" s="122"/>
      <c r="J54" s="121" t="s">
        <v>66</v>
      </c>
      <c r="K54" s="122"/>
      <c r="L54" s="119" t="s">
        <v>67</v>
      </c>
      <c r="M54" s="120"/>
      <c r="N54" s="119" t="s">
        <v>68</v>
      </c>
      <c r="O54" s="120"/>
      <c r="P54" s="119" t="s">
        <v>69</v>
      </c>
      <c r="Q54" s="185"/>
      <c r="R54" s="356"/>
      <c r="S54" s="357"/>
      <c r="T54" s="362"/>
    </row>
    <row r="55" spans="1:20">
      <c r="D55" s="136" t="s">
        <v>50</v>
      </c>
      <c r="E55" s="186" t="s">
        <v>51</v>
      </c>
      <c r="F55" s="123" t="s">
        <v>50</v>
      </c>
      <c r="G55" s="186" t="s">
        <v>51</v>
      </c>
      <c r="H55" s="125" t="s">
        <v>50</v>
      </c>
      <c r="I55" s="126" t="s">
        <v>51</v>
      </c>
      <c r="J55" s="125" t="s">
        <v>50</v>
      </c>
      <c r="K55" s="126" t="s">
        <v>51</v>
      </c>
      <c r="L55" s="123" t="s">
        <v>50</v>
      </c>
      <c r="M55" s="124" t="s">
        <v>51</v>
      </c>
      <c r="N55" s="123" t="s">
        <v>50</v>
      </c>
      <c r="O55" s="124" t="s">
        <v>51</v>
      </c>
      <c r="P55" s="123" t="s">
        <v>50</v>
      </c>
      <c r="Q55" s="200" t="s">
        <v>51</v>
      </c>
      <c r="R55" s="359"/>
      <c r="S55" s="360"/>
      <c r="T55" s="362"/>
    </row>
    <row r="56" spans="1:20">
      <c r="A56" s="177" t="s">
        <v>1590</v>
      </c>
      <c r="D56" s="136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f>COUNTIFS('[7]SingleFam - shrt fields'!AK:AK, "SLR Adjacent", '[7]SingleFam - shrt fields'!Y:Y, "Single Family Attached", '[7]SingleFam - shrt fields'!AH:AH, 6)</f>
        <v>103</v>
      </c>
      <c r="Q56" s="200">
        <f>SUMIFS('[7]SingleFam - shrt fields'!AJ:AJ,'[7]SingleFam - shrt fields'!AK:AK,"SLR Adjacent", '[7]SingleFam - shrt fields'!Y:Y, "Single Family Attached", '[7]SingleFam - shrt fields'!AH:AH,6)</f>
        <v>8.2243474244182728</v>
      </c>
      <c r="R56" s="359"/>
      <c r="S56" s="360"/>
      <c r="T56" s="362"/>
    </row>
    <row r="57" spans="1:20">
      <c r="A57" s="178" t="s">
        <v>1591</v>
      </c>
      <c r="D57" s="136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f>COUNTIFS('[7]SingleFam - shrt fields'!AK:AK, "SLR Adjacent", '[7]SingleFam - shrt fields'!Y:Y, "Single Family Detached", '[7]SingleFam - shrt fields'!AH:AH, 6)</f>
        <v>275</v>
      </c>
      <c r="Q57" s="200">
        <f>SUMIFS('[7]SingleFam - shrt fields'!AJ:AJ,'[7]SingleFam - shrt fields'!AK:AK,"SLR Adjacent", '[7]SingleFam - shrt fields'!Y:Y, "Single Family Detached", '[7]SingleFam - shrt fields'!AH:AH,6)</f>
        <v>26.913661970827317</v>
      </c>
      <c r="R57" s="359"/>
      <c r="S57" s="360"/>
      <c r="T57" s="362"/>
    </row>
    <row r="58" spans="1:20">
      <c r="A58" s="178" t="s">
        <v>1592</v>
      </c>
      <c r="D58" s="136">
        <v>0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f>COUNTIFS('[7]SingleFam - shrt fields'!AK:AK, "SLR Adjacent", '[7]SingleFam - shrt fields'!Y:Y, "Single Family Vacant", '[7]SingleFam - shrt fields'!AH:AH, 6)</f>
        <v>14</v>
      </c>
      <c r="Q58" s="200">
        <f>SUMIFS('[7]SingleFam - shrt fields'!AJ:AJ,'[7]SingleFam - shrt fields'!AK:AK,"SLR Adjacent", '[7]SingleFam - shrt fields'!Y:Y, "Single Family Vacant", '[7]SingleFam - shrt fields'!AH:AH,6)</f>
        <v>1.5157880607601013</v>
      </c>
      <c r="R58" s="359"/>
      <c r="S58" s="360"/>
      <c r="T58" s="362"/>
    </row>
    <row r="59" spans="1:20">
      <c r="A59" s="178" t="s">
        <v>1593</v>
      </c>
      <c r="D59" s="136">
        <v>0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f>COUNTIFS('[7]SingleFam - shrt fields'!AK:AK, "SLR Adjacent", '[7]SingleFam - shrt fields'!Y:Y, "Vacant, unbuildable", '[7]SingleFam - shrt fields'!AH:AH, 6)</f>
        <v>6</v>
      </c>
      <c r="Q59" s="200">
        <f>SUMIFS('[7]SingleFam - shrt fields'!AJ:AJ,'[7]SingleFam - shrt fields'!AK:AK,"SLR Adjacent", '[7]SingleFam - shrt fields'!Y:Y, "Vacant, unbuildable", '[7]SingleFam - shrt fields'!AH:AH,6)</f>
        <v>0.50771992664784205</v>
      </c>
      <c r="R59" s="359"/>
      <c r="S59" s="360"/>
      <c r="T59" s="362"/>
    </row>
    <row r="60" spans="1:20">
      <c r="A60" s="180" t="s">
        <v>19</v>
      </c>
      <c r="D60" s="137">
        <f t="shared" ref="D60:Q60" si="8">SUM(D56:D59)</f>
        <v>0</v>
      </c>
      <c r="E60" s="190">
        <f t="shared" si="8"/>
        <v>0</v>
      </c>
      <c r="F60" s="134">
        <f t="shared" si="8"/>
        <v>0</v>
      </c>
      <c r="G60" s="190">
        <f t="shared" si="8"/>
        <v>0</v>
      </c>
      <c r="H60" s="134">
        <f t="shared" si="8"/>
        <v>0</v>
      </c>
      <c r="I60" s="135">
        <f t="shared" si="8"/>
        <v>0</v>
      </c>
      <c r="J60" s="134">
        <f t="shared" si="8"/>
        <v>0</v>
      </c>
      <c r="K60" s="135">
        <f t="shared" si="8"/>
        <v>0</v>
      </c>
      <c r="L60" s="134">
        <f t="shared" si="8"/>
        <v>0</v>
      </c>
      <c r="M60" s="135">
        <f t="shared" si="8"/>
        <v>0</v>
      </c>
      <c r="N60" s="134">
        <f t="shared" si="8"/>
        <v>0</v>
      </c>
      <c r="O60" s="135">
        <f t="shared" si="8"/>
        <v>0</v>
      </c>
      <c r="P60" s="134">
        <f t="shared" si="8"/>
        <v>398</v>
      </c>
      <c r="Q60" s="202">
        <f t="shared" si="8"/>
        <v>37.161517382653535</v>
      </c>
      <c r="R60" s="192"/>
      <c r="S60" s="195"/>
      <c r="T60" s="362"/>
    </row>
    <row r="61" spans="1:20" s="46" customFormat="1">
      <c r="A61" s="33"/>
      <c r="D61" s="192"/>
      <c r="E61" s="193"/>
      <c r="F61" s="192"/>
      <c r="G61" s="193"/>
      <c r="H61" s="192"/>
      <c r="I61" s="194"/>
      <c r="J61" s="192"/>
      <c r="K61" s="194"/>
      <c r="L61" s="192"/>
      <c r="M61" s="194"/>
      <c r="N61" s="192"/>
      <c r="O61" s="194"/>
      <c r="P61" s="192"/>
      <c r="Q61" s="195"/>
      <c r="R61" s="192"/>
      <c r="S61" s="195"/>
      <c r="T61" s="362"/>
    </row>
    <row r="62" spans="1:20">
      <c r="F62" s="4"/>
      <c r="G62" s="139"/>
      <c r="H62" s="60"/>
      <c r="O62" s="2"/>
      <c r="Q62" s="140"/>
      <c r="R62" s="362"/>
      <c r="S62" s="363"/>
      <c r="T62" s="362"/>
    </row>
    <row r="63" spans="1:20">
      <c r="A63" s="35" t="s">
        <v>20</v>
      </c>
      <c r="F63" s="4"/>
      <c r="G63" s="139"/>
      <c r="H63" s="60"/>
      <c r="O63" s="2"/>
      <c r="Q63" s="140"/>
      <c r="R63" s="362"/>
      <c r="S63" s="363"/>
      <c r="T63" s="362"/>
    </row>
    <row r="64" spans="1:20">
      <c r="A64" s="38"/>
      <c r="F64" s="119" t="s">
        <v>64</v>
      </c>
      <c r="G64" s="184"/>
      <c r="H64" s="121" t="s">
        <v>65</v>
      </c>
      <c r="I64" s="122"/>
      <c r="J64" s="121" t="s">
        <v>66</v>
      </c>
      <c r="K64" s="122"/>
      <c r="L64" s="119" t="s">
        <v>67</v>
      </c>
      <c r="M64" s="120"/>
      <c r="N64" s="119" t="s">
        <v>68</v>
      </c>
      <c r="O64" s="120"/>
      <c r="P64" s="119" t="s">
        <v>69</v>
      </c>
      <c r="Q64" s="185"/>
      <c r="R64" s="356"/>
      <c r="S64" s="357"/>
      <c r="T64" s="362"/>
    </row>
    <row r="65" spans="1:20">
      <c r="A65" s="38"/>
      <c r="F65" s="136" t="s">
        <v>50</v>
      </c>
      <c r="G65" s="186" t="s">
        <v>51</v>
      </c>
      <c r="H65" s="125" t="s">
        <v>50</v>
      </c>
      <c r="I65" s="126" t="s">
        <v>51</v>
      </c>
      <c r="J65" s="125" t="s">
        <v>50</v>
      </c>
      <c r="K65" s="126" t="s">
        <v>51</v>
      </c>
      <c r="L65" s="123" t="s">
        <v>50</v>
      </c>
      <c r="M65" s="124" t="s">
        <v>51</v>
      </c>
      <c r="N65" s="123" t="s">
        <v>50</v>
      </c>
      <c r="O65" s="124" t="s">
        <v>51</v>
      </c>
      <c r="P65" s="123" t="s">
        <v>50</v>
      </c>
      <c r="Q65" s="200" t="s">
        <v>51</v>
      </c>
      <c r="R65" s="359"/>
      <c r="S65" s="360"/>
      <c r="T65" s="362"/>
    </row>
    <row r="66" spans="1:20">
      <c r="A66" s="177" t="s">
        <v>1590</v>
      </c>
      <c r="F66" s="136">
        <f t="shared" ref="F66:G69" si="9">F56+D56</f>
        <v>0</v>
      </c>
      <c r="G66" s="196">
        <f t="shared" si="9"/>
        <v>0</v>
      </c>
      <c r="H66" s="125">
        <f t="shared" ref="H66:Q69" si="10">H56+F66</f>
        <v>0</v>
      </c>
      <c r="I66" s="126">
        <f t="shared" si="10"/>
        <v>0</v>
      </c>
      <c r="J66" s="125">
        <f t="shared" si="10"/>
        <v>0</v>
      </c>
      <c r="K66" s="126">
        <f t="shared" si="10"/>
        <v>0</v>
      </c>
      <c r="L66" s="128">
        <f t="shared" si="10"/>
        <v>0</v>
      </c>
      <c r="M66" s="129">
        <f t="shared" si="10"/>
        <v>0</v>
      </c>
      <c r="N66" s="128">
        <f t="shared" si="10"/>
        <v>0</v>
      </c>
      <c r="O66" s="129">
        <f t="shared" si="10"/>
        <v>0</v>
      </c>
      <c r="P66" s="128">
        <f t="shared" si="10"/>
        <v>103</v>
      </c>
      <c r="Q66" s="200">
        <f t="shared" si="10"/>
        <v>8.2243474244182728</v>
      </c>
      <c r="R66" s="359"/>
      <c r="S66" s="360"/>
      <c r="T66" s="362"/>
    </row>
    <row r="67" spans="1:20">
      <c r="A67" s="178" t="s">
        <v>1591</v>
      </c>
      <c r="F67" s="136">
        <f t="shared" si="9"/>
        <v>0</v>
      </c>
      <c r="G67" s="196">
        <f t="shared" si="9"/>
        <v>0</v>
      </c>
      <c r="H67" s="125">
        <f t="shared" si="10"/>
        <v>0</v>
      </c>
      <c r="I67" s="126">
        <f t="shared" si="10"/>
        <v>0</v>
      </c>
      <c r="J67" s="125">
        <f t="shared" si="10"/>
        <v>0</v>
      </c>
      <c r="K67" s="126">
        <f t="shared" si="10"/>
        <v>0</v>
      </c>
      <c r="L67" s="128">
        <f t="shared" si="10"/>
        <v>0</v>
      </c>
      <c r="M67" s="129">
        <f t="shared" si="10"/>
        <v>0</v>
      </c>
      <c r="N67" s="128">
        <f t="shared" si="10"/>
        <v>0</v>
      </c>
      <c r="O67" s="129">
        <f t="shared" si="10"/>
        <v>0</v>
      </c>
      <c r="P67" s="128">
        <f t="shared" si="10"/>
        <v>275</v>
      </c>
      <c r="Q67" s="200">
        <f t="shared" si="10"/>
        <v>26.913661970827317</v>
      </c>
      <c r="R67" s="359"/>
      <c r="S67" s="360"/>
      <c r="T67" s="362"/>
    </row>
    <row r="68" spans="1:20">
      <c r="A68" s="178" t="s">
        <v>1592</v>
      </c>
      <c r="F68" s="136">
        <f t="shared" si="9"/>
        <v>0</v>
      </c>
      <c r="G68" s="196">
        <f t="shared" si="9"/>
        <v>0</v>
      </c>
      <c r="H68" s="125">
        <f t="shared" si="10"/>
        <v>0</v>
      </c>
      <c r="I68" s="126">
        <f t="shared" si="10"/>
        <v>0</v>
      </c>
      <c r="J68" s="125">
        <f t="shared" si="10"/>
        <v>0</v>
      </c>
      <c r="K68" s="126">
        <f t="shared" si="10"/>
        <v>0</v>
      </c>
      <c r="L68" s="128">
        <f t="shared" si="10"/>
        <v>0</v>
      </c>
      <c r="M68" s="129">
        <f t="shared" si="10"/>
        <v>0</v>
      </c>
      <c r="N68" s="128">
        <f t="shared" si="10"/>
        <v>0</v>
      </c>
      <c r="O68" s="129">
        <f t="shared" si="10"/>
        <v>0</v>
      </c>
      <c r="P68" s="128">
        <f t="shared" si="10"/>
        <v>14</v>
      </c>
      <c r="Q68" s="200">
        <f t="shared" si="10"/>
        <v>1.5157880607601013</v>
      </c>
      <c r="R68" s="359"/>
      <c r="S68" s="360"/>
      <c r="T68" s="362"/>
    </row>
    <row r="69" spans="1:20">
      <c r="A69" s="178" t="s">
        <v>1593</v>
      </c>
      <c r="F69" s="136">
        <f t="shared" si="9"/>
        <v>0</v>
      </c>
      <c r="G69" s="196">
        <f t="shared" si="9"/>
        <v>0</v>
      </c>
      <c r="H69" s="125">
        <f t="shared" si="10"/>
        <v>0</v>
      </c>
      <c r="I69" s="197">
        <f t="shared" si="10"/>
        <v>0</v>
      </c>
      <c r="J69" s="198">
        <f t="shared" si="10"/>
        <v>0</v>
      </c>
      <c r="K69" s="197">
        <f t="shared" si="10"/>
        <v>0</v>
      </c>
      <c r="L69" s="136">
        <f t="shared" si="10"/>
        <v>0</v>
      </c>
      <c r="M69" s="199">
        <f t="shared" si="10"/>
        <v>0</v>
      </c>
      <c r="N69" s="136">
        <f t="shared" si="10"/>
        <v>0</v>
      </c>
      <c r="O69" s="199">
        <f t="shared" si="10"/>
        <v>0</v>
      </c>
      <c r="P69" s="136">
        <f t="shared" si="10"/>
        <v>6</v>
      </c>
      <c r="Q69" s="200">
        <f t="shared" si="10"/>
        <v>0.50771992664784205</v>
      </c>
      <c r="R69" s="359"/>
      <c r="S69" s="360"/>
      <c r="T69" s="362"/>
    </row>
    <row r="70" spans="1:20">
      <c r="A70" s="180" t="s">
        <v>19</v>
      </c>
      <c r="F70" s="137">
        <f t="shared" ref="F70:Q70" si="11">SUM(F66:F69)</f>
        <v>0</v>
      </c>
      <c r="G70" s="201">
        <f t="shared" si="11"/>
        <v>0</v>
      </c>
      <c r="H70" s="137">
        <f t="shared" si="11"/>
        <v>0</v>
      </c>
      <c r="I70" s="138">
        <f t="shared" si="11"/>
        <v>0</v>
      </c>
      <c r="J70" s="137">
        <f t="shared" si="11"/>
        <v>0</v>
      </c>
      <c r="K70" s="138">
        <f t="shared" si="11"/>
        <v>0</v>
      </c>
      <c r="L70" s="137">
        <f t="shared" si="11"/>
        <v>0</v>
      </c>
      <c r="M70" s="138">
        <f t="shared" si="11"/>
        <v>0</v>
      </c>
      <c r="N70" s="137">
        <f t="shared" si="11"/>
        <v>0</v>
      </c>
      <c r="O70" s="138">
        <f t="shared" si="11"/>
        <v>0</v>
      </c>
      <c r="P70" s="137">
        <f t="shared" si="11"/>
        <v>398</v>
      </c>
      <c r="Q70" s="202">
        <f t="shared" si="11"/>
        <v>37.161517382653535</v>
      </c>
      <c r="R70" s="192"/>
      <c r="S70" s="195"/>
      <c r="T70" s="362"/>
    </row>
    <row r="71" spans="1:20">
      <c r="R71" s="362"/>
      <c r="S71" s="362"/>
      <c r="T71" s="362"/>
    </row>
    <row r="72" spans="1:20">
      <c r="R72" s="362"/>
      <c r="S72" s="362"/>
      <c r="T72" s="362"/>
    </row>
    <row r="73" spans="1:20">
      <c r="A73" s="15" t="s">
        <v>1594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1"/>
  <sheetViews>
    <sheetView topLeftCell="A39" zoomScale="125" zoomScaleNormal="125" zoomScalePageLayoutView="125" workbookViewId="0">
      <pane xSplit="1" topLeftCell="C1" activePane="topRight" state="frozen"/>
      <selection pane="topRight" activeCell="D44" sqref="D44:O50"/>
    </sheetView>
  </sheetViews>
  <sheetFormatPr baseColWidth="10" defaultRowHeight="14" x14ac:dyDescent="0"/>
  <cols>
    <col min="1" max="1" width="35.83203125" style="15" customWidth="1"/>
    <col min="2" max="2" width="10.83203125" style="4"/>
    <col min="3" max="3" width="10.83203125" style="2"/>
    <col min="4" max="4" width="10.83203125" style="4"/>
    <col min="5" max="5" width="10.83203125" style="2"/>
    <col min="6" max="6" width="10.83203125" style="60"/>
    <col min="7" max="7" width="10.83203125" style="2"/>
    <col min="8" max="8" width="10.83203125" style="4"/>
    <col min="9" max="9" width="11" style="2" bestFit="1" customWidth="1"/>
    <col min="10" max="10" width="10.83203125" style="4"/>
    <col min="11" max="11" width="10.83203125" style="2"/>
    <col min="12" max="12" width="10.83203125" style="4"/>
    <col min="13" max="13" width="10.83203125" style="2"/>
    <col min="14" max="14" width="10.83203125" style="4"/>
    <col min="15" max="15" width="10.83203125" style="2"/>
    <col min="16" max="16" width="10.83203125" style="4"/>
    <col min="17" max="17" width="10.83203125" style="2"/>
    <col min="18" max="16384" width="10.83203125" style="4"/>
  </cols>
  <sheetData>
    <row r="2" spans="1:20">
      <c r="A2" s="1" t="s">
        <v>37</v>
      </c>
    </row>
    <row r="3" spans="1:20">
      <c r="A3" s="5" t="s">
        <v>38</v>
      </c>
    </row>
    <row r="4" spans="1:20" s="8" customFormat="1">
      <c r="A4" s="5" t="s">
        <v>39</v>
      </c>
      <c r="B4" s="61">
        <f>P29+N50+N71</f>
        <v>39</v>
      </c>
      <c r="C4" s="62"/>
      <c r="E4" s="62"/>
      <c r="F4" s="63"/>
      <c r="G4" s="62"/>
      <c r="I4" s="62"/>
      <c r="K4" s="62"/>
      <c r="M4" s="62"/>
      <c r="O4" s="62"/>
      <c r="Q4" s="62"/>
    </row>
    <row r="5" spans="1:20" s="8" customFormat="1">
      <c r="A5" s="5" t="s">
        <v>40</v>
      </c>
      <c r="B5" s="6">
        <f>Q29+O50+O71</f>
        <v>1998.6072701527828</v>
      </c>
      <c r="C5" s="62"/>
      <c r="E5" s="62"/>
      <c r="F5" s="63"/>
      <c r="G5" s="62"/>
      <c r="I5" s="62"/>
      <c r="K5" s="62"/>
      <c r="M5" s="62"/>
      <c r="O5" s="62"/>
      <c r="Q5" s="62"/>
    </row>
    <row r="6" spans="1:20" s="12" customFormat="1" ht="28">
      <c r="A6" s="9" t="s">
        <v>2</v>
      </c>
      <c r="C6" s="10"/>
      <c r="E6" s="10"/>
      <c r="F6" s="64"/>
      <c r="G6" s="10"/>
      <c r="I6" s="10"/>
      <c r="K6" s="10"/>
      <c r="M6" s="10"/>
      <c r="O6" s="10"/>
      <c r="Q6" s="10"/>
    </row>
    <row r="7" spans="1:20">
      <c r="A7" s="13" t="s">
        <v>41</v>
      </c>
    </row>
    <row r="8" spans="1:20">
      <c r="A8" s="14" t="s">
        <v>4</v>
      </c>
    </row>
    <row r="12" spans="1:20">
      <c r="A12" s="16" t="s">
        <v>6</v>
      </c>
      <c r="B12" s="65"/>
      <c r="C12" s="17"/>
      <c r="D12" s="65"/>
      <c r="E12" s="17"/>
      <c r="F12" s="66"/>
      <c r="G12" s="17"/>
      <c r="H12" s="65"/>
      <c r="I12" s="39"/>
      <c r="J12" s="18"/>
      <c r="K12" s="39"/>
      <c r="L12" s="18"/>
      <c r="M12" s="39"/>
      <c r="N12" s="18"/>
      <c r="O12" s="17"/>
      <c r="P12" s="65"/>
      <c r="Q12" s="17"/>
      <c r="R12" s="18"/>
      <c r="S12" s="18"/>
      <c r="T12" s="18"/>
    </row>
    <row r="13" spans="1:20" s="21" customFormat="1">
      <c r="A13" s="14"/>
      <c r="B13" s="67" t="s">
        <v>42</v>
      </c>
      <c r="C13" s="23"/>
      <c r="D13" s="68" t="s">
        <v>43</v>
      </c>
      <c r="E13" s="20"/>
      <c r="F13" s="69" t="s">
        <v>44</v>
      </c>
      <c r="G13" s="20"/>
      <c r="H13" s="68" t="s">
        <v>45</v>
      </c>
      <c r="I13" s="20"/>
      <c r="J13" s="68" t="s">
        <v>46</v>
      </c>
      <c r="K13" s="20"/>
      <c r="L13" s="68" t="s">
        <v>47</v>
      </c>
      <c r="M13" s="20"/>
      <c r="N13" s="68" t="s">
        <v>48</v>
      </c>
      <c r="O13" s="20"/>
      <c r="P13" s="68" t="s">
        <v>49</v>
      </c>
      <c r="Q13" s="20"/>
      <c r="R13" s="18"/>
      <c r="S13" s="18"/>
      <c r="T13" s="18"/>
    </row>
    <row r="14" spans="1:20" s="21" customFormat="1">
      <c r="A14" s="22"/>
      <c r="B14" s="70" t="s">
        <v>50</v>
      </c>
      <c r="C14" s="23" t="s">
        <v>51</v>
      </c>
      <c r="D14" s="71" t="s">
        <v>50</v>
      </c>
      <c r="E14" s="24" t="s">
        <v>51</v>
      </c>
      <c r="F14" s="72" t="s">
        <v>50</v>
      </c>
      <c r="G14" s="24" t="s">
        <v>51</v>
      </c>
      <c r="H14" s="71" t="s">
        <v>50</v>
      </c>
      <c r="I14" s="24" t="s">
        <v>51</v>
      </c>
      <c r="J14" s="71" t="s">
        <v>50</v>
      </c>
      <c r="K14" s="24" t="s">
        <v>51</v>
      </c>
      <c r="L14" s="71" t="s">
        <v>50</v>
      </c>
      <c r="M14" s="24" t="s">
        <v>51</v>
      </c>
      <c r="N14" s="71" t="s">
        <v>50</v>
      </c>
      <c r="O14" s="24" t="s">
        <v>51</v>
      </c>
      <c r="P14" s="71" t="s">
        <v>50</v>
      </c>
      <c r="Q14" s="24" t="s">
        <v>51</v>
      </c>
      <c r="R14" s="18"/>
      <c r="S14" s="18"/>
      <c r="T14" s="18"/>
    </row>
    <row r="15" spans="1:20">
      <c r="A15" s="73" t="s">
        <v>52</v>
      </c>
      <c r="B15" s="74">
        <f>COUNTIFS('[2]Brownfields_shrt fields'!AV:AV, "FZ no SLR", '[2]Brownfields_shrt fields'!AJ:AJ, "Active")</f>
        <v>1</v>
      </c>
      <c r="C15" s="23">
        <f>SUMIFS('[2]Brownfields_shrt fields'!AU:AU,'[2]Brownfields_shrt fields'!AV:AV, "FZ no SLR", '[2]Brownfields_shrt fields'!AJ:AJ, "Active")</f>
        <v>6.3374294909779616</v>
      </c>
      <c r="D15" s="75">
        <f>COUNTIFS('[2]Brownfields_shrt fields'!AV:AV, "FZ with SLR", '[2]Brownfields_shrt fields'!AJ:AJ, "Active", '[2]Brownfields_shrt fields'!AR:AR, 0)</f>
        <v>10</v>
      </c>
      <c r="E15" s="20">
        <f>SUMIFS('[2]Brownfields_shrt fields'!AU:AU,'[2]Brownfields_shrt fields'!AV:AV, "FZ with SLR", '[2]Brownfields_shrt fields'!AJ:AJ, "Active", '[2]Brownfields_shrt fields'!AR:AR,0)</f>
        <v>916.38174221625354</v>
      </c>
      <c r="F15" s="76">
        <f>COUNTIFS('[2]Brownfields_shrt fields'!AV:AV, "FZ with SLR", '[2]Brownfields_shrt fields'!AJ:AJ, "Active", '[2]Brownfields_shrt fields'!AR:AR, 1)</f>
        <v>0</v>
      </c>
      <c r="G15" s="20">
        <f>SUMIFS('[2]Brownfields_shrt fields'!AU:AU,'[2]Brownfields_shrt fields'!AV:AV, "FZ with SLR", '[2]Brownfields_shrt fields'!AJ:AJ, "Active", '[2]Brownfields_shrt fields'!AR:AR,1)</f>
        <v>0</v>
      </c>
      <c r="H15" s="75">
        <f>COUNTIFS('[2]Brownfields_shrt fields'!AV:AV, "FZ with SLR", '[2]Brownfields_shrt fields'!AJ:AJ, "Active", '[2]Brownfields_shrt fields'!AR:AR, 2)</f>
        <v>0</v>
      </c>
      <c r="I15" s="20">
        <f>SUMIFS('[2]Brownfields_shrt fields'!AU:AU,'[2]Brownfields_shrt fields'!AV:AV, "FZ with SLR", '[2]Brownfields_shrt fields'!AJ:AJ, "Active", '[2]Brownfields_shrt fields'!AR:AR,2)</f>
        <v>0</v>
      </c>
      <c r="J15" s="75">
        <f>COUNTIFS('[2]Brownfields_shrt fields'!AV:AV, "FZ with SLR", '[2]Brownfields_shrt fields'!AJ:AJ, "Active", '[2]Brownfields_shrt fields'!AR:AR, 3)</f>
        <v>1</v>
      </c>
      <c r="K15" s="20">
        <f>SUMIFS('[2]Brownfields_shrt fields'!AU:AU,'[2]Brownfields_shrt fields'!AV:AV, "FZ with SLR", '[2]Brownfields_shrt fields'!AJ:AJ, "Active", '[2]Brownfields_shrt fields'!AR:AR,3)</f>
        <v>13.452942091873279</v>
      </c>
      <c r="L15" s="75">
        <f>COUNTIFS('[2]Brownfields_shrt fields'!AV:AV, "FZ with SLR", '[2]Brownfields_shrt fields'!AJ:AJ, "Active", '[2]Brownfields_shrt fields'!AR:AR, 4)</f>
        <v>0</v>
      </c>
      <c r="M15" s="20">
        <f>SUMIFS('[2]Brownfields_shrt fields'!AU:AU,'[2]Brownfields_shrt fields'!AV:AV, "FZ with SLR", '[2]Brownfields_shrt fields'!AJ:AJ, "Active", '[2]Brownfields_shrt fields'!AR:AR,4)</f>
        <v>0</v>
      </c>
      <c r="N15" s="75">
        <f>COUNTIFS('[2]Brownfields_shrt fields'!AV:AV, "FZ with SLR", '[2]Brownfields_shrt fields'!AJ:AJ, "Active", '[2]Brownfields_shrt fields'!AR:AR, 5)</f>
        <v>0</v>
      </c>
      <c r="O15" s="20">
        <f>SUMIFS('[2]Brownfields_shrt fields'!AU:AU,'[2]Brownfields_shrt fields'!AV:AV, "FZ with SLR", '[2]Brownfields_shrt fields'!AJ:AJ, "Active", '[2]Brownfields_shrt fields'!AR:AR,5)</f>
        <v>0</v>
      </c>
      <c r="P15" s="75">
        <f>COUNTIFS('[2]Brownfields_shrt fields'!AV:AV, "FZ with SLR", '[2]Brownfields_shrt fields'!AJ:AJ, "Active", '[2]Brownfields_shrt fields'!AR:AR, 6)</f>
        <v>0</v>
      </c>
      <c r="Q15" s="20">
        <f>SUMIFS('[2]Brownfields_shrt fields'!AU:AU,'[2]Brownfields_shrt fields'!AV:AV, "FZ with SLR", '[2]Brownfields_shrt fields'!AJ:AJ, "Active", '[2]Brownfields_shrt fields'!AR:AR,6)</f>
        <v>0</v>
      </c>
      <c r="R15" s="18"/>
      <c r="S15" s="18"/>
      <c r="T15" s="18"/>
    </row>
    <row r="16" spans="1:20">
      <c r="A16" s="77" t="s">
        <v>53</v>
      </c>
      <c r="B16" s="74">
        <f>COUNTIFS('[2]Brownfields_shrt fields'!AV:AV, "FZ no SLR", '[2]Brownfields_shrt fields'!AJ:AJ, "Certified / Operation &amp; Maintenance")</f>
        <v>2</v>
      </c>
      <c r="C16" s="23">
        <f>SUMIFS('[2]Brownfields_shrt fields'!AU:AU,'[2]Brownfields_shrt fields'!AV:AV, "FZ no SLR", '[2]Brownfields_shrt fields'!AJ:AJ, "Certified / Operation &amp; Maintenance")</f>
        <v>70.142821444536281</v>
      </c>
      <c r="D16" s="75">
        <f>COUNTIFS('[2]Brownfields_shrt fields'!AV:AV, "FZ with SLR", '[2]Brownfields_shrt fields'!AJ:AJ, "Certified / Operation &amp; Maintenance", '[2]Brownfields_shrt fields'!AR:AR, 0)</f>
        <v>3</v>
      </c>
      <c r="E16" s="20">
        <f>SUMIFS('[2]Brownfields_shrt fields'!AU:AU,'[2]Brownfields_shrt fields'!AV:AV, "FZ with SLR", '[2]Brownfields_shrt fields'!AJ:AJ, "Certified / Operation &amp; Maintenance", '[2]Brownfields_shrt fields'!AR:AR,0)</f>
        <v>188.24225280387969</v>
      </c>
      <c r="F16" s="76">
        <f>COUNTIFS('[2]Brownfields_shrt fields'!AV:AV, "FZ with SLR", '[2]Brownfields_shrt fields'!AJ:AJ, "Certified / Operation &amp; Maintenance", '[2]Brownfields_shrt fields'!AR:AR, 1)</f>
        <v>0</v>
      </c>
      <c r="G16" s="20">
        <f>SUMIFS('[2]Brownfields_shrt fields'!AU:AU,'[2]Brownfields_shrt fields'!AV:AV, "FZ with SLR", '[2]Brownfields_shrt fields'!AJ:AJ, "Certified / Operation &amp; Maintenance", '[2]Brownfields_shrt fields'!AR:AR,1)</f>
        <v>0</v>
      </c>
      <c r="H16" s="75">
        <f>COUNTIFS('[2]Brownfields_shrt fields'!AV:AV, "FZ with SLR", '[2]Brownfields_shrt fields'!AJ:AJ, "Certified / Operation &amp; Maintenance", '[2]Brownfields_shrt fields'!AR:AR, 2)</f>
        <v>0</v>
      </c>
      <c r="I16" s="20">
        <f>SUMIFS('[2]Brownfields_shrt fields'!AU:AU,'[2]Brownfields_shrt fields'!AV:AV, "FZ with SLR", '[2]Brownfields_shrt fields'!AJ:AJ, "Certified / Operation &amp; Maintenance", '[2]Brownfields_shrt fields'!AR:AR,2)</f>
        <v>0</v>
      </c>
      <c r="J16" s="75">
        <f>COUNTIFS('[2]Brownfields_shrt fields'!AV:AV, "FZ with SLR", '[2]Brownfields_shrt fields'!AJ:AJ, "Certified / Operation &amp; Maintenance", '[2]Brownfields_shrt fields'!AR:AR, 3)</f>
        <v>0</v>
      </c>
      <c r="K16" s="20">
        <f>COUNTIFS('[2]Brownfields_shrt fields'!AV:AV, "FZ with SLR", '[2]Brownfields_shrt fields'!AJ:AJ, "Certified / Operation &amp; Maintenance", '[2]Brownfields_shrt fields'!AR:AR, 3)</f>
        <v>0</v>
      </c>
      <c r="L16" s="75">
        <f>COUNTIFS('[2]Brownfields_shrt fields'!AV:AV, "FZ with SLR", '[2]Brownfields_shrt fields'!AJ:AJ, "Certified / Operation &amp; Maintenance", '[2]Brownfields_shrt fields'!AR:AR, 4)</f>
        <v>0</v>
      </c>
      <c r="M16" s="20">
        <f>COUNTIFS('[2]Brownfields_shrt fields'!AV:AV, "FZ with SLR", '[2]Brownfields_shrt fields'!AJ:AJ, "Certified / Operation &amp; Maintenance", '[2]Brownfields_shrt fields'!AR:AR, 4)</f>
        <v>0</v>
      </c>
      <c r="N16" s="75">
        <f>COUNTIFS('[2]Brownfields_shrt fields'!AV:AV, "FZ with SLR", '[2]Brownfields_shrt fields'!AJ:AJ, "Certified / Operation &amp; Maintenance", '[2]Brownfields_shrt fields'!AR:AR, 5)</f>
        <v>0</v>
      </c>
      <c r="O16" s="20">
        <f>COUNTIFS('[2]Brownfields_shrt fields'!AV:AV, "FZ with SLR", '[2]Brownfields_shrt fields'!AJ:AJ, "Certified / Operation &amp; Maintenance", '[2]Brownfields_shrt fields'!AR:AR, 5)</f>
        <v>0</v>
      </c>
      <c r="P16" s="75">
        <f>COUNTIFS('[2]Brownfields_shrt fields'!AV:AV, "FZ with SLR", '[2]Brownfields_shrt fields'!AJ:AJ, "Certified / Operation &amp; Maintenance", '[2]Brownfields_shrt fields'!AR:AR, 6)</f>
        <v>0</v>
      </c>
      <c r="Q16" s="20">
        <f>COUNTIFS('[2]Brownfields_shrt fields'!AV:AV, "FZ with SLR", '[2]Brownfields_shrt fields'!AJ:AJ, "Certified / Operation &amp; Maintenance", '[2]Brownfields_shrt fields'!AR:AR, 6)</f>
        <v>0</v>
      </c>
      <c r="R16" s="18"/>
      <c r="S16" s="18"/>
      <c r="T16" s="18"/>
    </row>
    <row r="17" spans="1:20">
      <c r="A17" s="78" t="s">
        <v>54</v>
      </c>
      <c r="B17" s="74">
        <f>COUNTIFS('[2]Brownfields_shrt fields'!AV:AV, "FZ no SLR", '[2]Brownfields_shrt fields'!AJ:AJ, "Certified O&amp;M - Land Use Restrictions Only")</f>
        <v>3</v>
      </c>
      <c r="C17" s="23">
        <f>SUMIFS('[2]Brownfields_shrt fields'!AU:AU,'[2]Brownfields_shrt fields'!AV:AV, "FZ no SLR", '[2]Brownfields_shrt fields'!AJ:AJ, "Certified O&amp;M - Land Use Restrictions Only")</f>
        <v>19.343830120321396</v>
      </c>
      <c r="D17" s="75">
        <f>COUNTIFS('[2]Brownfields_shrt fields'!AV:AV, "FZ with SLR", '[2]Brownfields_shrt fields'!AJ:AJ, "Certified O&amp;M - Land Use Restrictions Only", '[2]Brownfields_shrt fields'!AR:AR, 0)</f>
        <v>4</v>
      </c>
      <c r="E17" s="20">
        <f>SUMIFS('[2]Brownfields_shrt fields'!AU:AU,'[2]Brownfields_shrt fields'!AV:AV, "FZ with SLR", '[2]Brownfields_shrt fields'!AJ:AJ, "Certified O&amp;M - Land Use Restrictions Only", '[2]Brownfields_shrt fields'!AR:AR,0)</f>
        <v>137.04081676818183</v>
      </c>
      <c r="F17" s="76">
        <f>COUNTIFS('[2]Brownfields_shrt fields'!AV:AV, "FZ with SLR", '[2]Brownfields_shrt fields'!AJ:AJ, "Certified O&amp;M - Land Use Restrictions Only", '[2]Brownfields_shrt fields'!AR:AR, 1)</f>
        <v>0</v>
      </c>
      <c r="G17" s="20">
        <f>SUMIFS('[2]Brownfields_shrt fields'!AU:AU,'[2]Brownfields_shrt fields'!AV:AV, "FZ with SLR", '[2]Brownfields_shrt fields'!AJ:AJ, "Certified O&amp;M - Land Use Restrictions Only", '[2]Brownfields_shrt fields'!AR:AR,1)</f>
        <v>0</v>
      </c>
      <c r="H17" s="75">
        <f>COUNTIFS('[2]Brownfields_shrt fields'!AV:AV, "FZ with SLR", '[2]Brownfields_shrt fields'!AJ:AJ, "Certified O&amp;M - Land Use Restrictions Only", '[2]Brownfields_shrt fields'!AR:AR, 2)</f>
        <v>0</v>
      </c>
      <c r="I17" s="20">
        <f>SUMIFS('[2]Brownfields_shrt fields'!AU:AU,'[2]Brownfields_shrt fields'!AV:AV, "FZ with SLR", '[2]Brownfields_shrt fields'!AJ:AJ, "Certified O&amp;M - Land Use Restrictions Only", '[2]Brownfields_shrt fields'!AR:AR,2)</f>
        <v>0</v>
      </c>
      <c r="J17" s="75">
        <f>COUNTIFS('[2]Brownfields_shrt fields'!AV:AV, "FZ with SLR", '[2]Brownfields_shrt fields'!AJ:AJ, "Certified O&amp;M - Land Use Restrictions Only", '[2]Brownfields_shrt fields'!AR:AR, 3)</f>
        <v>0</v>
      </c>
      <c r="K17" s="20">
        <f>SUMIFS('[2]Brownfields_shrt fields'!AU:AU,'[2]Brownfields_shrt fields'!AV:AV, "FZ with SLR", '[2]Brownfields_shrt fields'!AJ:AJ, "Certified O&amp;M - Land Use Restrictions Only", '[2]Brownfields_shrt fields'!AR:AR,3)</f>
        <v>0</v>
      </c>
      <c r="L17" s="75">
        <f>COUNTIFS('[2]Brownfields_shrt fields'!AV:AV, "FZ with SLR", '[2]Brownfields_shrt fields'!AJ:AJ, "Certified O&amp;M - Land Use Restrictions Only", '[2]Brownfields_shrt fields'!AR:AR, 4)</f>
        <v>0</v>
      </c>
      <c r="M17" s="20">
        <f>SUMIFS('[2]Brownfields_shrt fields'!AU:AU,'[2]Brownfields_shrt fields'!AV:AV, "FZ with SLR", '[2]Brownfields_shrt fields'!AJ:AJ, "Certified O&amp;M - Land Use Restrictions Only", '[2]Brownfields_shrt fields'!AR:AR,4)</f>
        <v>0</v>
      </c>
      <c r="N17" s="75">
        <f>COUNTIFS('[2]Brownfields_shrt fields'!AV:AV, "FZ with SLR", '[2]Brownfields_shrt fields'!AJ:AJ, "Certified O&amp;M - Land Use Restrictions Only", '[2]Brownfields_shrt fields'!AR:AR, 5)</f>
        <v>0</v>
      </c>
      <c r="O17" s="20">
        <f>SUMIFS('[2]Brownfields_shrt fields'!AU:AU,'[2]Brownfields_shrt fields'!AV:AV, "FZ with SLR", '[2]Brownfields_shrt fields'!AJ:AJ, "Certified O&amp;M - Land Use Restrictions Only", '[2]Brownfields_shrt fields'!AR:AR,5)</f>
        <v>0</v>
      </c>
      <c r="P17" s="75">
        <f>COUNTIFS('[2]Brownfields_shrt fields'!AV:AV, "FZ with SLR", '[2]Brownfields_shrt fields'!AJ:AJ, "Certified O&amp;M - Land Use Restrictions Only", '[2]Brownfields_shrt fields'!AR:AR, 6)</f>
        <v>0</v>
      </c>
      <c r="Q17" s="20">
        <f>SUMIFS('[2]Brownfields_shrt fields'!AU:AU,'[2]Brownfields_shrt fields'!AV:AV, "FZ with SLR", '[2]Brownfields_shrt fields'!AJ:AJ, "Certified O&amp;M - Land Use Restrictions Only", '[2]Brownfields_shrt fields'!AR:AR,6)</f>
        <v>0</v>
      </c>
      <c r="R17" s="18"/>
      <c r="S17" s="18"/>
      <c r="T17" s="18"/>
    </row>
    <row r="18" spans="1:20">
      <c r="A18" s="79" t="s">
        <v>55</v>
      </c>
      <c r="B18" s="74">
        <f>COUNTIFS('[2]Brownfields_shrt fields'!AV:AV, "FZ no SLR", '[2]Brownfields_shrt fields'!AJ:AJ, "Inactive - Action Required")</f>
        <v>0</v>
      </c>
      <c r="C18" s="23">
        <f>SUMIFS('[2]Brownfields_shrt fields'!AU:AU,'[2]Brownfields_shrt fields'!AV:AV, "FZ no SLR", '[2]Brownfields_shrt fields'!AJ:AJ, "Inactive - Action Required")</f>
        <v>0</v>
      </c>
      <c r="D18" s="75">
        <f>COUNTIFS('[2]Brownfields_shrt fields'!AV:AV, "FZ with SLR", '[2]Brownfields_shrt fields'!AJ:AJ, "Inactive - Action Required", '[2]Brownfields_shrt fields'!AR:AR, 0)</f>
        <v>0</v>
      </c>
      <c r="E18" s="20">
        <f>SUMIFS('[2]Brownfields_shrt fields'!AU:AU,'[2]Brownfields_shrt fields'!AV:AV, "FZ with SLR", '[2]Brownfields_shrt fields'!AJ:AJ, "Inactive - Action Required", '[2]Brownfields_shrt fields'!AR:AR,0)</f>
        <v>0</v>
      </c>
      <c r="F18" s="76">
        <f>COUNTIFS('[2]Brownfields_shrt fields'!AV:AV, "FZ with SLR", '[2]Brownfields_shrt fields'!AJ:AJ, "Inactive - Action Required", '[2]Brownfields_shrt fields'!AR:AR, 1)</f>
        <v>2</v>
      </c>
      <c r="G18" s="20">
        <f>SUMIFS('[2]Brownfields_shrt fields'!AU:AU,'[2]Brownfields_shrt fields'!AV:AV, "FZ with SLR", '[2]Brownfields_shrt fields'!AJ:AJ, "Inactive - Action Required", '[2]Brownfields_shrt fields'!AR:AR,1)</f>
        <v>349.41230711753906</v>
      </c>
      <c r="H18" s="75">
        <f>COUNTIFS('[2]Brownfields_shrt fields'!AV:AV, "FZ with SLR", '[2]Brownfields_shrt fields'!AJ:AJ, "Inactive - Action Required", '[2]Brownfields_shrt fields'!AR:AR, 2)</f>
        <v>0</v>
      </c>
      <c r="I18" s="20">
        <f>SUMIFS('[2]Brownfields_shrt fields'!AU:AU,'[2]Brownfields_shrt fields'!AV:AV, "FZ with SLR", '[2]Brownfields_shrt fields'!AJ:AJ, "Inactive - Action Required", '[2]Brownfields_shrt fields'!AR:AR,2)</f>
        <v>0</v>
      </c>
      <c r="J18" s="75">
        <f>COUNTIFS('[2]Brownfields_shrt fields'!AV:AV, "FZ with SLR", '[2]Brownfields_shrt fields'!AJ:AJ, "Inactive - Action Required", '[2]Brownfields_shrt fields'!AR:AR, 3)</f>
        <v>0</v>
      </c>
      <c r="K18" s="20">
        <f>SUMIFS('[2]Brownfields_shrt fields'!AU:AU,'[2]Brownfields_shrt fields'!AV:AV, "FZ with SLR", '[2]Brownfields_shrt fields'!AJ:AJ, "Inactive - Action Required", '[2]Brownfields_shrt fields'!AR:AR,3)</f>
        <v>0</v>
      </c>
      <c r="L18" s="75">
        <f>COUNTIFS('[2]Brownfields_shrt fields'!AV:AV, "FZ with SLR", '[2]Brownfields_shrt fields'!AJ:AJ, "Inactive - Action Required", '[2]Brownfields_shrt fields'!AR:AR, 4)</f>
        <v>0</v>
      </c>
      <c r="M18" s="20">
        <f>SUMIFS('[2]Brownfields_shrt fields'!AU:AU,'[2]Brownfields_shrt fields'!AV:AV, "FZ with SLR", '[2]Brownfields_shrt fields'!AJ:AJ, "Inactive - Action Required", '[2]Brownfields_shrt fields'!AR:AR,4)</f>
        <v>0</v>
      </c>
      <c r="N18" s="75">
        <f>COUNTIFS('[2]Brownfields_shrt fields'!AV:AV, "FZ with SLR", '[2]Brownfields_shrt fields'!AJ:AJ, "Inactive - Action Required", '[2]Brownfields_shrt fields'!AR:AR, 5)</f>
        <v>2</v>
      </c>
      <c r="O18" s="20">
        <f>SUMIFS('[2]Brownfields_shrt fields'!AU:AU,'[2]Brownfields_shrt fields'!AV:AV, "FZ with SLR", '[2]Brownfields_shrt fields'!AJ:AJ, "Inactive - Action Required", '[2]Brownfields_shrt fields'!AR:AR,5)</f>
        <v>84.787265269513313</v>
      </c>
      <c r="P18" s="75">
        <f>COUNTIFS('[2]Brownfields_shrt fields'!AV:AV, "FZ with SLR", '[2]Brownfields_shrt fields'!AJ:AJ, "Inactive - Action Required", '[2]Brownfields_shrt fields'!AR:AR, 6)</f>
        <v>0</v>
      </c>
      <c r="Q18" s="20">
        <f>SUMIFS('[2]Brownfields_shrt fields'!AU:AU,'[2]Brownfields_shrt fields'!AV:AV, "FZ with SLR", '[2]Brownfields_shrt fields'!AJ:AJ, "Inactive - Action Required", '[2]Brownfields_shrt fields'!AR:AR,6)</f>
        <v>0</v>
      </c>
      <c r="R18" s="18"/>
      <c r="S18" s="18"/>
      <c r="T18" s="18"/>
    </row>
    <row r="19" spans="1:20" s="8" customFormat="1">
      <c r="A19" s="80" t="s">
        <v>19</v>
      </c>
      <c r="B19" s="81">
        <f t="shared" ref="B19:Q19" si="0">SUM(B15:B18)</f>
        <v>6</v>
      </c>
      <c r="C19" s="82">
        <f t="shared" si="0"/>
        <v>95.824081055835649</v>
      </c>
      <c r="D19" s="83">
        <f t="shared" si="0"/>
        <v>17</v>
      </c>
      <c r="E19" s="84">
        <f t="shared" si="0"/>
        <v>1241.6648117883151</v>
      </c>
      <c r="F19" s="85">
        <f t="shared" si="0"/>
        <v>2</v>
      </c>
      <c r="G19" s="84">
        <f t="shared" si="0"/>
        <v>349.41230711753906</v>
      </c>
      <c r="H19" s="83">
        <f t="shared" si="0"/>
        <v>0</v>
      </c>
      <c r="I19" s="84">
        <f t="shared" si="0"/>
        <v>0</v>
      </c>
      <c r="J19" s="83">
        <f t="shared" si="0"/>
        <v>1</v>
      </c>
      <c r="K19" s="84">
        <f t="shared" si="0"/>
        <v>13.452942091873279</v>
      </c>
      <c r="L19" s="83">
        <f t="shared" si="0"/>
        <v>0</v>
      </c>
      <c r="M19" s="84">
        <f t="shared" si="0"/>
        <v>0</v>
      </c>
      <c r="N19" s="83">
        <f t="shared" si="0"/>
        <v>2</v>
      </c>
      <c r="O19" s="84">
        <f t="shared" si="0"/>
        <v>84.787265269513313</v>
      </c>
      <c r="P19" s="83">
        <f t="shared" si="0"/>
        <v>0</v>
      </c>
      <c r="Q19" s="84">
        <f t="shared" si="0"/>
        <v>0</v>
      </c>
      <c r="R19" s="32"/>
      <c r="S19" s="32"/>
      <c r="T19" s="32"/>
    </row>
    <row r="20" spans="1:20" s="32" customFormat="1">
      <c r="A20" s="5"/>
      <c r="B20" s="86"/>
      <c r="C20" s="34"/>
      <c r="D20" s="86"/>
      <c r="E20" s="34"/>
      <c r="F20" s="87"/>
      <c r="G20" s="34"/>
      <c r="H20" s="86"/>
      <c r="I20" s="34"/>
      <c r="J20" s="86"/>
      <c r="K20" s="34"/>
      <c r="L20" s="86"/>
      <c r="M20" s="34"/>
      <c r="N20" s="86"/>
      <c r="O20" s="34"/>
      <c r="P20" s="86"/>
      <c r="Q20" s="34"/>
    </row>
    <row r="21" spans="1:20" s="32" customFormat="1">
      <c r="A21" s="5"/>
      <c r="B21" s="86"/>
      <c r="C21" s="34"/>
      <c r="D21" s="86"/>
      <c r="E21" s="34"/>
      <c r="F21" s="87"/>
      <c r="G21" s="34"/>
      <c r="H21" s="86"/>
      <c r="I21" s="34"/>
      <c r="J21" s="86"/>
      <c r="K21" s="34"/>
      <c r="L21" s="86"/>
      <c r="M21" s="34"/>
      <c r="N21" s="86"/>
      <c r="O21" s="34"/>
      <c r="P21" s="86"/>
      <c r="Q21" s="34"/>
    </row>
    <row r="22" spans="1:20">
      <c r="A22" s="35" t="s">
        <v>20</v>
      </c>
      <c r="B22" s="32"/>
      <c r="C22" s="36"/>
      <c r="D22" s="88"/>
      <c r="E22" s="37"/>
      <c r="F22" s="89"/>
      <c r="G22" s="37"/>
      <c r="H22" s="90"/>
      <c r="I22" s="37"/>
      <c r="J22" s="90"/>
      <c r="K22" s="37"/>
      <c r="L22" s="90"/>
      <c r="M22" s="37"/>
      <c r="N22" s="90"/>
      <c r="O22" s="37"/>
      <c r="P22" s="90"/>
      <c r="Q22" s="37"/>
      <c r="R22" s="32"/>
      <c r="S22" s="32"/>
      <c r="T22" s="32"/>
    </row>
    <row r="23" spans="1:20" s="21" customFormat="1">
      <c r="A23" s="38"/>
      <c r="B23" s="18"/>
      <c r="C23" s="39"/>
      <c r="D23" s="68" t="s">
        <v>43</v>
      </c>
      <c r="E23" s="20"/>
      <c r="F23" s="69" t="s">
        <v>44</v>
      </c>
      <c r="G23" s="20"/>
      <c r="H23" s="68" t="s">
        <v>45</v>
      </c>
      <c r="I23" s="20"/>
      <c r="J23" s="68" t="s">
        <v>46</v>
      </c>
      <c r="K23" s="20"/>
      <c r="L23" s="68" t="s">
        <v>47</v>
      </c>
      <c r="M23" s="20"/>
      <c r="N23" s="91" t="s">
        <v>48</v>
      </c>
      <c r="O23" s="92"/>
      <c r="P23" s="91" t="s">
        <v>49</v>
      </c>
      <c r="Q23" s="92"/>
      <c r="R23" s="18"/>
      <c r="S23" s="18"/>
      <c r="T23" s="18"/>
    </row>
    <row r="24" spans="1:20" s="21" customFormat="1">
      <c r="A24" s="38"/>
      <c r="B24" s="18"/>
      <c r="C24" s="39"/>
      <c r="D24" s="93" t="s">
        <v>50</v>
      </c>
      <c r="E24" s="24" t="s">
        <v>51</v>
      </c>
      <c r="F24" s="72" t="s">
        <v>50</v>
      </c>
      <c r="G24" s="24" t="s">
        <v>51</v>
      </c>
      <c r="H24" s="71" t="s">
        <v>50</v>
      </c>
      <c r="I24" s="24" t="s">
        <v>51</v>
      </c>
      <c r="J24" s="71" t="s">
        <v>50</v>
      </c>
      <c r="K24" s="24" t="s">
        <v>51</v>
      </c>
      <c r="L24" s="71" t="s">
        <v>50</v>
      </c>
      <c r="M24" s="24" t="s">
        <v>51</v>
      </c>
      <c r="N24" s="94" t="s">
        <v>50</v>
      </c>
      <c r="O24" s="95" t="s">
        <v>51</v>
      </c>
      <c r="P24" s="94" t="s">
        <v>50</v>
      </c>
      <c r="Q24" s="95" t="s">
        <v>51</v>
      </c>
      <c r="R24" s="18"/>
      <c r="S24" s="18"/>
      <c r="T24" s="18"/>
    </row>
    <row r="25" spans="1:20">
      <c r="A25" s="96" t="s">
        <v>52</v>
      </c>
      <c r="B25" s="32"/>
      <c r="C25" s="36"/>
      <c r="D25" s="75">
        <f t="shared" ref="D25:E28" si="1">D15+B15</f>
        <v>11</v>
      </c>
      <c r="E25" s="20">
        <f t="shared" si="1"/>
        <v>922.71917170723145</v>
      </c>
      <c r="F25" s="76">
        <f t="shared" ref="F25:Q28" si="2">F15+D25</f>
        <v>11</v>
      </c>
      <c r="G25" s="20">
        <f t="shared" si="2"/>
        <v>922.71917170723145</v>
      </c>
      <c r="H25" s="75">
        <f t="shared" si="2"/>
        <v>11</v>
      </c>
      <c r="I25" s="20">
        <f t="shared" si="2"/>
        <v>922.71917170723145</v>
      </c>
      <c r="J25" s="75">
        <f t="shared" si="2"/>
        <v>12</v>
      </c>
      <c r="K25" s="20">
        <f t="shared" si="2"/>
        <v>936.17211379910475</v>
      </c>
      <c r="L25" s="75">
        <f t="shared" si="2"/>
        <v>12</v>
      </c>
      <c r="M25" s="20">
        <f t="shared" si="2"/>
        <v>936.17211379910475</v>
      </c>
      <c r="N25" s="97">
        <f t="shared" si="2"/>
        <v>12</v>
      </c>
      <c r="O25" s="95">
        <f t="shared" si="2"/>
        <v>936.17211379910475</v>
      </c>
      <c r="P25" s="97">
        <f t="shared" si="2"/>
        <v>12</v>
      </c>
      <c r="Q25" s="98">
        <f t="shared" si="2"/>
        <v>936.17211379910475</v>
      </c>
      <c r="R25" s="32"/>
      <c r="S25" s="32"/>
      <c r="T25" s="32"/>
    </row>
    <row r="26" spans="1:20">
      <c r="A26" s="78" t="s">
        <v>53</v>
      </c>
      <c r="B26" s="32"/>
      <c r="C26" s="36"/>
      <c r="D26" s="75">
        <f t="shared" si="1"/>
        <v>5</v>
      </c>
      <c r="E26" s="20">
        <f t="shared" si="1"/>
        <v>258.385074248416</v>
      </c>
      <c r="F26" s="76">
        <f t="shared" si="2"/>
        <v>5</v>
      </c>
      <c r="G26" s="20">
        <f t="shared" si="2"/>
        <v>258.385074248416</v>
      </c>
      <c r="H26" s="75">
        <f t="shared" si="2"/>
        <v>5</v>
      </c>
      <c r="I26" s="20">
        <f t="shared" si="2"/>
        <v>258.385074248416</v>
      </c>
      <c r="J26" s="75">
        <f t="shared" si="2"/>
        <v>5</v>
      </c>
      <c r="K26" s="20">
        <f t="shared" si="2"/>
        <v>258.385074248416</v>
      </c>
      <c r="L26" s="75">
        <f t="shared" si="2"/>
        <v>5</v>
      </c>
      <c r="M26" s="20">
        <f t="shared" si="2"/>
        <v>258.385074248416</v>
      </c>
      <c r="N26" s="97">
        <f t="shared" si="2"/>
        <v>5</v>
      </c>
      <c r="O26" s="95">
        <f t="shared" si="2"/>
        <v>258.385074248416</v>
      </c>
      <c r="P26" s="97">
        <f t="shared" si="2"/>
        <v>5</v>
      </c>
      <c r="Q26" s="98">
        <f t="shared" si="2"/>
        <v>258.385074248416</v>
      </c>
      <c r="R26" s="32"/>
      <c r="S26" s="32"/>
      <c r="T26" s="32"/>
    </row>
    <row r="27" spans="1:20">
      <c r="A27" s="78" t="s">
        <v>54</v>
      </c>
      <c r="B27" s="21"/>
      <c r="C27" s="51"/>
      <c r="D27" s="75">
        <f t="shared" si="1"/>
        <v>7</v>
      </c>
      <c r="E27" s="20">
        <f t="shared" si="1"/>
        <v>156.38464688850323</v>
      </c>
      <c r="F27" s="76">
        <f t="shared" si="2"/>
        <v>7</v>
      </c>
      <c r="G27" s="20">
        <f t="shared" si="2"/>
        <v>156.38464688850323</v>
      </c>
      <c r="H27" s="75">
        <f t="shared" si="2"/>
        <v>7</v>
      </c>
      <c r="I27" s="20">
        <f t="shared" si="2"/>
        <v>156.38464688850323</v>
      </c>
      <c r="J27" s="75">
        <f t="shared" si="2"/>
        <v>7</v>
      </c>
      <c r="K27" s="20">
        <f t="shared" si="2"/>
        <v>156.38464688850323</v>
      </c>
      <c r="L27" s="75">
        <f t="shared" si="2"/>
        <v>7</v>
      </c>
      <c r="M27" s="20">
        <f t="shared" si="2"/>
        <v>156.38464688850323</v>
      </c>
      <c r="N27" s="97">
        <f t="shared" si="2"/>
        <v>7</v>
      </c>
      <c r="O27" s="95">
        <f t="shared" si="2"/>
        <v>156.38464688850323</v>
      </c>
      <c r="P27" s="97">
        <f t="shared" si="2"/>
        <v>7</v>
      </c>
      <c r="Q27" s="98">
        <f t="shared" si="2"/>
        <v>156.38464688850323</v>
      </c>
      <c r="R27" s="18"/>
      <c r="S27" s="18"/>
      <c r="T27" s="18"/>
    </row>
    <row r="28" spans="1:20">
      <c r="A28" s="79" t="s">
        <v>55</v>
      </c>
      <c r="B28" s="21"/>
      <c r="C28" s="51"/>
      <c r="D28" s="75">
        <f t="shared" si="1"/>
        <v>0</v>
      </c>
      <c r="E28" s="20">
        <f t="shared" si="1"/>
        <v>0</v>
      </c>
      <c r="F28" s="76">
        <f t="shared" si="2"/>
        <v>2</v>
      </c>
      <c r="G28" s="20">
        <f t="shared" si="2"/>
        <v>349.41230711753906</v>
      </c>
      <c r="H28" s="75">
        <f t="shared" si="2"/>
        <v>2</v>
      </c>
      <c r="I28" s="20">
        <f t="shared" si="2"/>
        <v>349.41230711753906</v>
      </c>
      <c r="J28" s="75">
        <f t="shared" si="2"/>
        <v>2</v>
      </c>
      <c r="K28" s="20">
        <f t="shared" si="2"/>
        <v>349.41230711753906</v>
      </c>
      <c r="L28" s="75">
        <f t="shared" si="2"/>
        <v>2</v>
      </c>
      <c r="M28" s="20">
        <f t="shared" si="2"/>
        <v>349.41230711753906</v>
      </c>
      <c r="N28" s="97">
        <f t="shared" si="2"/>
        <v>4</v>
      </c>
      <c r="O28" s="95">
        <f t="shared" si="2"/>
        <v>434.1995723870524</v>
      </c>
      <c r="P28" s="97">
        <f t="shared" si="2"/>
        <v>4</v>
      </c>
      <c r="Q28" s="98">
        <f t="shared" si="2"/>
        <v>434.1995723870524</v>
      </c>
      <c r="R28" s="18"/>
      <c r="S28" s="18"/>
      <c r="T28" s="18"/>
    </row>
    <row r="29" spans="1:20">
      <c r="A29" s="80" t="s">
        <v>19</v>
      </c>
      <c r="B29" s="21"/>
      <c r="C29" s="51"/>
      <c r="D29" s="83">
        <f t="shared" ref="D29:Q29" si="3">SUM(D25:D28)</f>
        <v>23</v>
      </c>
      <c r="E29" s="84">
        <f t="shared" si="3"/>
        <v>1337.4888928441508</v>
      </c>
      <c r="F29" s="85">
        <f t="shared" si="3"/>
        <v>25</v>
      </c>
      <c r="G29" s="84">
        <f t="shared" si="3"/>
        <v>1686.9011999616898</v>
      </c>
      <c r="H29" s="83">
        <f t="shared" si="3"/>
        <v>25</v>
      </c>
      <c r="I29" s="84">
        <f t="shared" si="3"/>
        <v>1686.9011999616898</v>
      </c>
      <c r="J29" s="83">
        <f t="shared" si="3"/>
        <v>26</v>
      </c>
      <c r="K29" s="84">
        <f t="shared" si="3"/>
        <v>1700.3541420535632</v>
      </c>
      <c r="L29" s="83">
        <f t="shared" si="3"/>
        <v>26</v>
      </c>
      <c r="M29" s="84">
        <f t="shared" si="3"/>
        <v>1700.3541420535632</v>
      </c>
      <c r="N29" s="99">
        <f t="shared" si="3"/>
        <v>28</v>
      </c>
      <c r="O29" s="100">
        <f t="shared" si="3"/>
        <v>1785.1414073230767</v>
      </c>
      <c r="P29" s="99">
        <f t="shared" si="3"/>
        <v>28</v>
      </c>
      <c r="Q29" s="101">
        <f t="shared" si="3"/>
        <v>1785.1414073230767</v>
      </c>
      <c r="R29" s="18"/>
      <c r="S29" s="18"/>
      <c r="T29" s="18"/>
    </row>
    <row r="30" spans="1:20" s="46" customFormat="1">
      <c r="A30" s="5"/>
      <c r="B30" s="18"/>
      <c r="C30" s="39"/>
      <c r="D30" s="86"/>
      <c r="E30" s="34"/>
      <c r="F30" s="102"/>
      <c r="G30" s="39"/>
      <c r="H30" s="65"/>
      <c r="I30" s="39"/>
      <c r="J30" s="18"/>
      <c r="K30" s="17"/>
      <c r="L30" s="65"/>
      <c r="M30" s="17"/>
      <c r="N30" s="65"/>
      <c r="O30" s="17"/>
      <c r="P30" s="65"/>
      <c r="Q30" s="17"/>
      <c r="R30" s="18"/>
      <c r="S30" s="18"/>
      <c r="T30" s="18"/>
    </row>
    <row r="31" spans="1:20" s="46" customFormat="1">
      <c r="A31" s="5"/>
      <c r="B31" s="18"/>
      <c r="C31" s="39"/>
      <c r="D31" s="86"/>
      <c r="E31" s="34"/>
      <c r="F31" s="102"/>
      <c r="G31" s="39"/>
      <c r="H31" s="65"/>
      <c r="I31" s="39"/>
      <c r="J31" s="18"/>
      <c r="K31" s="17"/>
      <c r="L31" s="65"/>
      <c r="M31" s="17"/>
      <c r="N31" s="65"/>
      <c r="O31" s="17"/>
      <c r="P31" s="65"/>
      <c r="Q31" s="17"/>
      <c r="R31" s="18"/>
      <c r="S31" s="18"/>
      <c r="T31" s="18"/>
    </row>
    <row r="32" spans="1:20" s="46" customFormat="1">
      <c r="A32" s="5"/>
      <c r="B32" s="18"/>
      <c r="C32" s="39"/>
      <c r="D32" s="86"/>
      <c r="E32" s="34"/>
      <c r="F32" s="102"/>
      <c r="G32" s="39"/>
      <c r="H32" s="65"/>
      <c r="I32" s="39"/>
      <c r="J32" s="18"/>
      <c r="K32" s="17"/>
      <c r="L32" s="65"/>
      <c r="M32" s="17"/>
      <c r="N32" s="65"/>
      <c r="O32" s="17"/>
      <c r="P32" s="65"/>
      <c r="Q32" s="17"/>
      <c r="R32" s="18"/>
      <c r="S32" s="18"/>
      <c r="T32" s="18"/>
    </row>
    <row r="33" spans="1:20" s="8" customFormat="1">
      <c r="A33" s="103" t="s">
        <v>6</v>
      </c>
      <c r="C33" s="62"/>
      <c r="E33" s="62"/>
      <c r="F33" s="63"/>
      <c r="G33" s="62"/>
      <c r="H33" s="88"/>
      <c r="I33" s="36"/>
      <c r="J33" s="32"/>
      <c r="K33" s="37"/>
      <c r="L33" s="88"/>
      <c r="M33" s="37"/>
      <c r="N33" s="88"/>
      <c r="O33" s="37"/>
      <c r="P33" s="88"/>
      <c r="Q33" s="37"/>
      <c r="R33" s="32"/>
      <c r="S33" s="32"/>
      <c r="T33" s="32"/>
    </row>
    <row r="34" spans="1:20" s="21" customFormat="1">
      <c r="A34" s="14"/>
      <c r="B34" s="104" t="s">
        <v>56</v>
      </c>
      <c r="C34" s="105"/>
      <c r="D34" s="106" t="s">
        <v>57</v>
      </c>
      <c r="E34" s="105"/>
      <c r="F34" s="107" t="s">
        <v>58</v>
      </c>
      <c r="G34" s="105"/>
      <c r="H34" s="106" t="s">
        <v>59</v>
      </c>
      <c r="I34" s="105"/>
      <c r="J34" s="106" t="s">
        <v>60</v>
      </c>
      <c r="K34" s="105"/>
      <c r="L34" s="106" t="s">
        <v>61</v>
      </c>
      <c r="M34" s="105"/>
      <c r="N34" s="106" t="s">
        <v>62</v>
      </c>
      <c r="O34" s="105"/>
      <c r="T34" s="18"/>
    </row>
    <row r="35" spans="1:20" s="21" customFormat="1">
      <c r="A35" s="14"/>
      <c r="B35" s="108" t="s">
        <v>50</v>
      </c>
      <c r="C35" s="109" t="s">
        <v>51</v>
      </c>
      <c r="D35" s="108" t="s">
        <v>50</v>
      </c>
      <c r="E35" s="109" t="s">
        <v>51</v>
      </c>
      <c r="F35" s="110" t="s">
        <v>50</v>
      </c>
      <c r="G35" s="109" t="s">
        <v>51</v>
      </c>
      <c r="H35" s="108" t="s">
        <v>50</v>
      </c>
      <c r="I35" s="109" t="s">
        <v>51</v>
      </c>
      <c r="J35" s="108" t="s">
        <v>50</v>
      </c>
      <c r="K35" s="109" t="s">
        <v>51</v>
      </c>
      <c r="L35" s="108" t="s">
        <v>50</v>
      </c>
      <c r="M35" s="109" t="s">
        <v>51</v>
      </c>
      <c r="N35" s="108" t="s">
        <v>50</v>
      </c>
      <c r="O35" s="109" t="s">
        <v>51</v>
      </c>
      <c r="T35" s="18"/>
    </row>
    <row r="36" spans="1:20">
      <c r="A36" s="96" t="s">
        <v>52</v>
      </c>
      <c r="B36" s="111">
        <f>COUNTIFS('[2]Brownfields_shrt fields'!AV:AV, "SLR not in FZ", '[2]Brownfields_shrt fields'!AJ:AJ, "Active", '[2]Brownfields_shrt fields'!AR:AR, 0)</f>
        <v>1</v>
      </c>
      <c r="C36" s="105">
        <f>SUMIFS('[2]Brownfields_shrt fields'!AU:AU,'[2]Brownfields_shrt fields'!AV:AV, "SLR not in FZ", '[2]Brownfields_shrt fields'!AJ:AJ, "Active", '[2]Brownfields_shrt fields'!AR:AR,0)</f>
        <v>175.95058799954086</v>
      </c>
      <c r="D36" s="111">
        <f>COUNTIFS('[2]Brownfields_shrt fields'!AV:AV, "SLR not in FZ", '[2]Brownfields_shrt fields'!AJ:AJ, "Active", '[2]Brownfields_shrt fields'!AR:AR, 1)</f>
        <v>0</v>
      </c>
      <c r="E36" s="105">
        <f>SUMIFS('[2]Brownfields_shrt fields'!AU:AU,'[2]Brownfields_shrt fields'!AV:AV, "SLR not in FZ", '[2]Brownfields_shrt fields'!AJ:AJ, "Active", '[2]Brownfields_shrt fields'!AR:AR,1)</f>
        <v>0</v>
      </c>
      <c r="F36" s="112">
        <f>COUNTIFS('[2]Brownfields_shrt fields'!AV:AV, "SLR not in FZ", '[2]Brownfields_shrt fields'!AJ:AJ, "Active", '[2]Brownfields_shrt fields'!AR:AR, 2)</f>
        <v>0</v>
      </c>
      <c r="G36" s="105">
        <f>SUMIFS('[2]Brownfields_shrt fields'!AU:AU,'[2]Brownfields_shrt fields'!AV:AV, "SLR not in FZ", '[2]Brownfields_shrt fields'!AJ:AJ, "Active", '[2]Brownfields_shrt fields'!AR:AR,2)</f>
        <v>0</v>
      </c>
      <c r="H36" s="113">
        <f>COUNTIFS('[2]Brownfields_shrt fields'!AV:AV, "SLR not in FZ", '[2]Brownfields_shrt fields'!AJ:AJ, "Active", '[2]Brownfields_shrt fields'!AR:AR, 3)</f>
        <v>0</v>
      </c>
      <c r="I36" s="105">
        <f>SUMIFS('[2]Brownfields_shrt fields'!AU:AU,'[2]Brownfields_shrt fields'!AV:AV, "SLR not in FZ", '[2]Brownfields_shrt fields'!AJ:AJ, "Active", '[2]Brownfields_shrt fields'!AR:AR,3)</f>
        <v>0</v>
      </c>
      <c r="J36" s="113">
        <f>COUNTIFS('[2]Brownfields_shrt fields'!AV:AV, "SLR not in FZ", '[2]Brownfields_shrt fields'!AJ:AJ, "Active", '[2]Brownfields_shrt fields'!AR:AR, 4)</f>
        <v>1</v>
      </c>
      <c r="K36" s="105">
        <f>SUMIFS('[2]Brownfields_shrt fields'!AU:AU,'[2]Brownfields_shrt fields'!AV:AV, "SLR not in FZ", '[2]Brownfields_shrt fields'!AJ:AJ, "Active", '[2]Brownfields_shrt fields'!AR:AR,4)</f>
        <v>1.0228466327961432</v>
      </c>
      <c r="L36" s="113">
        <f>COUNTIFS('[2]Brownfields_shrt fields'!AV:AV, "SLR not in FZ", '[2]Brownfields_shrt fields'!AJ:AJ, "Active", '[2]Brownfields_shrt fields'!AR:AR, 5)</f>
        <v>1</v>
      </c>
      <c r="M36" s="105">
        <f>SUMIFS('[2]Brownfields_shrt fields'!AU:AU,'[2]Brownfields_shrt fields'!AV:AV, "SLR not in FZ", '[2]Brownfields_shrt fields'!AJ:AJ, "Active", '[2]Brownfields_shrt fields'!AR:AR,5)</f>
        <v>9.6430354223370056</v>
      </c>
      <c r="N36" s="113">
        <f>COUNTIFS('[2]Brownfields_shrt fields'!AV:AV, "SLR not in FZ", '[2]Brownfields_shrt fields'!AJ:AJ, "Active", '[2]Brownfields_shrt fields'!AR:AR, 6)</f>
        <v>2</v>
      </c>
      <c r="O36" s="105">
        <f>SUMIFS('[2]Brownfields_shrt fields'!AU:AU,'[2]Brownfields_shrt fields'!AV:AV, "SLR not in FZ", '[2]Brownfields_shrt fields'!AJ:AJ, "Active", '[2]Brownfields_shrt fields'!AR:AR,6)</f>
        <v>2.3179618866161613</v>
      </c>
      <c r="T36" s="18"/>
    </row>
    <row r="37" spans="1:20">
      <c r="A37" s="79" t="s">
        <v>53</v>
      </c>
      <c r="B37" s="111">
        <f>COUNTIFS('[2]Brownfields_shrt fields'!AV:AV, "SLR not in FZ", '[2]Brownfields_shrt fields'!AJ:AJ, "Certified / Operation &amp; Maintenance", '[2]Brownfields_shrt fields'!AR:AR, 0)</f>
        <v>0</v>
      </c>
      <c r="C37" s="105">
        <f>SUMIFS('[2]Brownfields_shrt fields'!AU:AU,'[2]Brownfields_shrt fields'!AV:AV, "SLR not in FZ", '[2]Brownfields_shrt fields'!AJ:AJ, "Certified / Operation &amp; Maintenance", '[2]Brownfields_shrt fields'!AR:AR,0)</f>
        <v>0</v>
      </c>
      <c r="D37" s="113">
        <f>COUNTIFS('[2]Brownfields_shrt fields'!AV:AV, "SLR not in FZ", '[2]Brownfields_shrt fields'!AJ:AJ, "Certified / Operation &amp; Maintenance", '[2]Brownfields_shrt fields'!AR:AR, 1)</f>
        <v>0</v>
      </c>
      <c r="E37" s="105">
        <f>SUMIFS('[2]Brownfields_shrt fields'!AU:AU,'[2]Brownfields_shrt fields'!AV:AV, "SLR not in FZ", '[2]Brownfields_shrt fields'!AJ:AJ, "Certified / Operation &amp; Maintenance", '[2]Brownfields_shrt fields'!AR:AR,1)</f>
        <v>0</v>
      </c>
      <c r="F37" s="112">
        <f>COUNTIFS('[2]Brownfields_shrt fields'!AV:AV, "SLR not in FZ", '[2]Brownfields_shrt fields'!AJ:AJ, "Certified / Operation &amp; Maintenance", '[2]Brownfields_shrt fields'!AR:AR, 2)</f>
        <v>0</v>
      </c>
      <c r="G37" s="105">
        <f>SUMIFS('[2]Brownfields_shrt fields'!AU:AU,'[2]Brownfields_shrt fields'!AV:AV, "SLR not in FZ", '[2]Brownfields_shrt fields'!AJ:AJ, "Certified / Operation &amp; Maintenance", '[2]Brownfields_shrt fields'!AR:AR,2)</f>
        <v>0</v>
      </c>
      <c r="H37" s="113">
        <f>COUNTIFS('[2]Brownfields_shrt fields'!AV:AV, "SLR not in FZ", '[2]Brownfields_shrt fields'!AJ:AJ, "Certified / Operation &amp; Maintenance", '[2]Brownfields_shrt fields'!AR:AR, 3)</f>
        <v>1</v>
      </c>
      <c r="I37" s="105">
        <f>SUMIFS('[2]Brownfields_shrt fields'!AU:AU,'[2]Brownfields_shrt fields'!AV:AV, "SLR not in FZ", '[2]Brownfields_shrt fields'!AJ:AJ, "Certified / Operation &amp; Maintenance", '[2]Brownfields_shrt fields'!AR:AR,3)</f>
        <v>2.024036160959596</v>
      </c>
      <c r="J37" s="113">
        <f>COUNTIFS('[2]Brownfields_shrt fields'!AV:AV, "SLR not in FZ", '[2]Brownfields_shrt fields'!AJ:AJ, "Certified / Operation &amp; Maintenance", '[2]Brownfields_shrt fields'!AR:AR, 4)</f>
        <v>0</v>
      </c>
      <c r="K37" s="105">
        <f>SUMIFS('[2]Brownfields_shrt fields'!AU:AU,'[2]Brownfields_shrt fields'!AV:AV, "SLR not in FZ", '[2]Brownfields_shrt fields'!AJ:AJ, "Certified / Operation &amp; Maintenance", '[2]Brownfields_shrt fields'!AR:AR,4)</f>
        <v>0</v>
      </c>
      <c r="L37" s="113">
        <f>COUNTIFS('[2]Brownfields_shrt fields'!AV:AV, "SLR not in FZ", '[2]Brownfields_shrt fields'!AJ:AJ, "Certified / Operation &amp; Maintenance", '[2]Brownfields_shrt fields'!AR:AR, 5)</f>
        <v>0</v>
      </c>
      <c r="M37" s="105">
        <f>SUMIFS('[2]Brownfields_shrt fields'!AU:AU,'[2]Brownfields_shrt fields'!AV:AV, "SLR not in FZ", '[2]Brownfields_shrt fields'!AJ:AJ, "Certified / Operation &amp; Maintenance", '[2]Brownfields_shrt fields'!AR:AR,5)</f>
        <v>0</v>
      </c>
      <c r="N37" s="113">
        <f>COUNTIFS('[2]Brownfields_shrt fields'!AV:AV, "SLR not in FZ", '[2]Brownfields_shrt fields'!AJ:AJ, "Certified / Operation &amp; Maintenance", '[2]Brownfields_shrt fields'!AR:AR, 6)</f>
        <v>1</v>
      </c>
      <c r="O37" s="105">
        <f>SUMIFS('[2]Brownfields_shrt fields'!AU:AU,'[2]Brownfields_shrt fields'!AV:AV, "SLR not in FZ", '[2]Brownfields_shrt fields'!AJ:AJ, "Certified / Operation &amp; Maintenance", '[2]Brownfields_shrt fields'!AR:AR,6)</f>
        <v>1.1483549504522497</v>
      </c>
      <c r="T37" s="18"/>
    </row>
    <row r="38" spans="1:20">
      <c r="A38" s="79" t="s">
        <v>54</v>
      </c>
      <c r="B38" s="111">
        <f>COUNTIFS('[2]Brownfields_shrt fields'!AV:AV, "SLR not in FZ", '[2]Brownfields_shrt fields'!AJ:AJ, "Certified O&amp;M - Land Use Restrictions Only", '[2]Brownfields_shrt fields'!AR:AR, 0)</f>
        <v>0</v>
      </c>
      <c r="C38" s="105">
        <f>SUMIFS('[2]Brownfields_shrt fields'!AU:AU,'[2]Brownfields_shrt fields'!AV:AV, "SLR not in FZ", '[2]Brownfields_shrt fields'!AJ:AJ, "Certified O&amp;M - Land Use Restrictions Only", '[2]Brownfields_shrt fields'!AR:AR,0)</f>
        <v>0</v>
      </c>
      <c r="D38" s="113">
        <f>COUNTIFS('[2]Brownfields_shrt fields'!AV:AV, "SLR not in FZ", '[2]Brownfields_shrt fields'!AJ:AJ, "Certified O&amp;M - Land Use Restrictions Only", '[2]Brownfields_shrt fields'!AR:AR, 1)</f>
        <v>0</v>
      </c>
      <c r="E38" s="105">
        <f>SUMIFS('[2]Brownfields_shrt fields'!AU:AU,'[2]Brownfields_shrt fields'!AV:AV, "SLR not in FZ", '[2]Brownfields_shrt fields'!AJ:AJ, "Certified O&amp;M - Land Use Restrictions Only", '[2]Brownfields_shrt fields'!AR:AR,1)</f>
        <v>0</v>
      </c>
      <c r="F38" s="112">
        <f>COUNTIFS('[2]Brownfields_shrt fields'!AV:AV, "SLR not in FZ", '[2]Brownfields_shrt fields'!AJ:AJ, "Certified O&amp;M - Land Use Restrictions Only", '[2]Brownfields_shrt fields'!AR:AR, 2)</f>
        <v>0</v>
      </c>
      <c r="G38" s="105">
        <f>SUMIFS('[2]Brownfields_shrt fields'!AU:AU,'[2]Brownfields_shrt fields'!AV:AV, "SLR not in FZ", '[2]Brownfields_shrt fields'!AJ:AJ, "Certified O&amp;M - Land Use Restrictions Only", '[2]Brownfields_shrt fields'!AR:AR,2)</f>
        <v>0</v>
      </c>
      <c r="H38" s="113">
        <f>COUNTIFS('[2]Brownfields_shrt fields'!AV:AV, "SLR not in FZ", '[2]Brownfields_shrt fields'!AJ:AJ, "Certified O&amp;M - Land Use Restrictions Only", '[2]Brownfields_shrt fields'!AR:AR, 3)</f>
        <v>1</v>
      </c>
      <c r="I38" s="105">
        <f>SUMIFS('[2]Brownfields_shrt fields'!AU:AU,'[2]Brownfields_shrt fields'!AV:AV, "SLR not in FZ", '[2]Brownfields_shrt fields'!AJ:AJ, "Certified O&amp;M - Land Use Restrictions Only", '[2]Brownfields_shrt fields'!AR:AR,3)</f>
        <v>2.0370446557231405</v>
      </c>
      <c r="J38" s="113">
        <f>COUNTIFS('[2]Brownfields_shrt fields'!AV:AV, "SLR not in FZ", '[2]Brownfields_shrt fields'!AJ:AJ, "Certified O&amp;M - Land Use Restrictions Only", '[2]Brownfields_shrt fields'!AR:AR, 4)</f>
        <v>0</v>
      </c>
      <c r="K38" s="105">
        <f>SUMIFS('[2]Brownfields_shrt fields'!AU:AU,'[2]Brownfields_shrt fields'!AV:AV, "SLR not in FZ", '[2]Brownfields_shrt fields'!AJ:AJ, "Certified O&amp;M - Land Use Restrictions Only", '[2]Brownfields_shrt fields'!AR:AR,4)</f>
        <v>0</v>
      </c>
      <c r="L38" s="113">
        <f>COUNTIFS('[2]Brownfields_shrt fields'!AV:AV, "SLR not in FZ", '[2]Brownfields_shrt fields'!AJ:AJ, "Certified O&amp;M - Land Use Restrictions Only", '[2]Brownfields_shrt fields'!AR:AR, 5)</f>
        <v>0</v>
      </c>
      <c r="M38" s="105">
        <f>SUMIFS('[2]Brownfields_shrt fields'!AU:AU,'[2]Brownfields_shrt fields'!AV:AV, "SLR not in FZ", '[2]Brownfields_shrt fields'!AJ:AJ, "Certified O&amp;M - Land Use Restrictions Only", '[2]Brownfields_shrt fields'!AR:AR,5)</f>
        <v>0</v>
      </c>
      <c r="N38" s="113">
        <f>COUNTIFS('[2]Brownfields_shrt fields'!AV:AV, "SLR not in FZ", '[2]Brownfields_shrt fields'!AJ:AJ, "Certified O&amp;M - Land Use Restrictions Only", '[2]Brownfields_shrt fields'!AR:AR, 6)</f>
        <v>2</v>
      </c>
      <c r="O38" s="105">
        <f>SUMIFS('[2]Brownfields_shrt fields'!AU:AU,'[2]Brownfields_shrt fields'!AV:AV, "SLR not in FZ", '[2]Brownfields_shrt fields'!AJ:AJ, "Certified O&amp;M - Land Use Restrictions Only", '[2]Brownfields_shrt fields'!AR:AR,6)</f>
        <v>6.2033092103076211</v>
      </c>
      <c r="T38" s="18"/>
    </row>
    <row r="39" spans="1:20">
      <c r="A39" s="79" t="s">
        <v>55</v>
      </c>
      <c r="B39" s="111">
        <f>COUNTIFS('[2]Brownfields_shrt fields'!AV:AV, "SLR not in FZ", '[2]Brownfields_shrt fields'!AJ:AJ, "Inactive - Action Required", '[2]Brownfields_shrt fields'!AR:AR, 0)</f>
        <v>0</v>
      </c>
      <c r="C39" s="105">
        <f>SUMIFS('[2]Brownfields_shrt fields'!AU:AU,'[2]Brownfields_shrt fields'!AV:AV, "SLR not in FZ", '[2]Brownfields_shrt fields'!AJ:AJ, "Inactive - Action Required", '[2]Brownfields_shrt fields'!AR:AR,0)</f>
        <v>0</v>
      </c>
      <c r="D39" s="113">
        <f>COUNTIFS('[2]Brownfields_shrt fields'!AV:AV, "SLR not in FZ", '[2]Brownfields_shrt fields'!AJ:AJ, "Inactive - Action Required", '[2]Brownfields_shrt fields'!AR:AR, 1)</f>
        <v>0</v>
      </c>
      <c r="E39" s="105">
        <f>SUMIFS('[2]Brownfields_shrt fields'!AU:AU,'[2]Brownfields_shrt fields'!AV:AV, "SLR not in FZ", '[2]Brownfields_shrt fields'!AJ:AJ, "Inactive - Action Required", '[2]Brownfields_shrt fields'!AR:AR,1)</f>
        <v>0</v>
      </c>
      <c r="F39" s="112">
        <f>COUNTIFS('[2]Brownfields_shrt fields'!AV:AV, "SLR not in FZ", '[2]Brownfields_shrt fields'!AJ:AJ, "Inactive - Action Required", '[2]Brownfields_shrt fields'!AR:AR, 2)</f>
        <v>0</v>
      </c>
      <c r="G39" s="105">
        <f>SUMIFS('[2]Brownfields_shrt fields'!AU:AU,'[2]Brownfields_shrt fields'!AV:AV, "SLR not in FZ", '[2]Brownfields_shrt fields'!AJ:AJ, "Inactive - Action Required", '[2]Brownfields_shrt fields'!AR:AR,2)</f>
        <v>0</v>
      </c>
      <c r="H39" s="113">
        <f>COUNTIFS('[2]Brownfields_shrt fields'!AV:AV, "SLR not in FZ", '[2]Brownfields_shrt fields'!AJ:AJ, "Inactive - Action Required", '[2]Brownfields_shrt fields'!AR:AR, 3)</f>
        <v>0</v>
      </c>
      <c r="I39" s="105">
        <f>SUMIFS('[2]Brownfields_shrt fields'!AU:AU,'[2]Brownfields_shrt fields'!AV:AV, "SLR not in FZ", '[2]Brownfields_shrt fields'!AJ:AJ, "Inactive - Action Required", '[2]Brownfields_shrt fields'!AR:AR,3)</f>
        <v>0</v>
      </c>
      <c r="J39" s="113">
        <f>COUNTIFS('[2]Brownfields_shrt fields'!AV:AV, "SLR not in FZ", '[2]Brownfields_shrt fields'!AJ:AJ, "Inactive - Action Required", '[2]Brownfields_shrt fields'!AR:AR, 4)</f>
        <v>0</v>
      </c>
      <c r="K39" s="105">
        <f>SUMIFS('[2]Brownfields_shrt fields'!AU:AU,'[2]Brownfields_shrt fields'!AV:AV, "SLR not in FZ", '[2]Brownfields_shrt fields'!AJ:AJ, "Inactive - Action Required", '[2]Brownfields_shrt fields'!AR:AR,4)</f>
        <v>0</v>
      </c>
      <c r="L39" s="113">
        <f>COUNTIFS('[2]Brownfields_shrt fields'!AV:AV, "SLR not in FZ", '[2]Brownfields_shrt fields'!AJ:AJ, "Inactive - Action Required", '[2]Brownfields_shrt fields'!AR:AR, 5)</f>
        <v>0</v>
      </c>
      <c r="M39" s="105">
        <f>SUMIFS('[2]Brownfields_shrt fields'!AU:AU,'[2]Brownfields_shrt fields'!AV:AV, "SLR not in FZ", '[2]Brownfields_shrt fields'!AJ:AJ, "Inactive - Action Required", '[2]Brownfields_shrt fields'!AR:AR,5)</f>
        <v>0</v>
      </c>
      <c r="N39" s="113">
        <f>COUNTIFS('[2]Brownfields_shrt fields'!AV:AV, "SLR not in FZ", '[2]Brownfields_shrt fields'!AJ:AJ, "Inactive - Action Required", '[2]Brownfields_shrt fields'!AR:AR, 6)</f>
        <v>0</v>
      </c>
      <c r="O39" s="105">
        <f>SUMIFS('[2]Brownfields_shrt fields'!AU:AU,'[2]Brownfields_shrt fields'!AV:AV, "SLR not in FZ", '[2]Brownfields_shrt fields'!AJ:AJ, "Inactive - Action Required", '[2]Brownfields_shrt fields'!AR:AR,6)</f>
        <v>0</v>
      </c>
      <c r="T39" s="18"/>
    </row>
    <row r="40" spans="1:20">
      <c r="A40" s="80" t="s">
        <v>19</v>
      </c>
      <c r="B40" s="114">
        <f t="shared" ref="B40:K40" si="4">SUM(B36:B39)</f>
        <v>1</v>
      </c>
      <c r="C40" s="115">
        <f t="shared" si="4"/>
        <v>175.95058799954086</v>
      </c>
      <c r="D40" s="116">
        <f t="shared" si="4"/>
        <v>0</v>
      </c>
      <c r="E40" s="115">
        <f t="shared" si="4"/>
        <v>0</v>
      </c>
      <c r="F40" s="117">
        <f t="shared" si="4"/>
        <v>0</v>
      </c>
      <c r="G40" s="115">
        <f t="shared" si="4"/>
        <v>0</v>
      </c>
      <c r="H40" s="116">
        <f t="shared" si="4"/>
        <v>2</v>
      </c>
      <c r="I40" s="115">
        <f t="shared" si="4"/>
        <v>4.0610808166827361</v>
      </c>
      <c r="J40" s="116">
        <f t="shared" si="4"/>
        <v>1</v>
      </c>
      <c r="K40" s="115">
        <f t="shared" si="4"/>
        <v>1.0228466327961432</v>
      </c>
      <c r="L40" s="117">
        <f t="shared" ref="L40:O40" si="5">SUM(L36:L39)</f>
        <v>1</v>
      </c>
      <c r="M40" s="115">
        <f t="shared" si="5"/>
        <v>9.6430354223370056</v>
      </c>
      <c r="N40" s="117">
        <f t="shared" si="5"/>
        <v>5</v>
      </c>
      <c r="O40" s="115">
        <f t="shared" si="5"/>
        <v>9.6696260473760312</v>
      </c>
      <c r="T40" s="18"/>
    </row>
    <row r="43" spans="1:20">
      <c r="A43" s="35" t="s">
        <v>20</v>
      </c>
    </row>
    <row r="44" spans="1:20">
      <c r="A44" s="38"/>
      <c r="D44" s="106" t="s">
        <v>57</v>
      </c>
      <c r="E44" s="105"/>
      <c r="F44" s="107" t="s">
        <v>58</v>
      </c>
      <c r="G44" s="105"/>
      <c r="H44" s="106" t="s">
        <v>59</v>
      </c>
      <c r="I44" s="105"/>
      <c r="J44" s="106" t="s">
        <v>60</v>
      </c>
      <c r="K44" s="105"/>
      <c r="L44" s="106" t="s">
        <v>61</v>
      </c>
      <c r="M44" s="105"/>
      <c r="N44" s="106" t="s">
        <v>62</v>
      </c>
      <c r="O44" s="105"/>
    </row>
    <row r="45" spans="1:20">
      <c r="A45" s="38"/>
      <c r="D45" s="118" t="s">
        <v>50</v>
      </c>
      <c r="E45" s="109" t="s">
        <v>51</v>
      </c>
      <c r="F45" s="110" t="s">
        <v>50</v>
      </c>
      <c r="G45" s="109" t="s">
        <v>51</v>
      </c>
      <c r="H45" s="108" t="s">
        <v>50</v>
      </c>
      <c r="I45" s="109" t="s">
        <v>51</v>
      </c>
      <c r="J45" s="108" t="s">
        <v>50</v>
      </c>
      <c r="K45" s="109" t="s">
        <v>51</v>
      </c>
      <c r="L45" s="108" t="s">
        <v>50</v>
      </c>
      <c r="M45" s="109" t="s">
        <v>51</v>
      </c>
      <c r="N45" s="108" t="s">
        <v>50</v>
      </c>
      <c r="O45" s="109" t="s">
        <v>51</v>
      </c>
    </row>
    <row r="46" spans="1:20">
      <c r="A46" s="96" t="s">
        <v>52</v>
      </c>
      <c r="D46" s="113">
        <f>D36+B36</f>
        <v>1</v>
      </c>
      <c r="E46" s="105">
        <f>E36+C36</f>
        <v>175.95058799954086</v>
      </c>
      <c r="F46" s="112">
        <f t="shared" ref="F46:O49" si="6">F36+D46</f>
        <v>1</v>
      </c>
      <c r="G46" s="105">
        <f t="shared" si="6"/>
        <v>175.95058799954086</v>
      </c>
      <c r="H46" s="113">
        <f t="shared" si="6"/>
        <v>1</v>
      </c>
      <c r="I46" s="105">
        <f t="shared" si="6"/>
        <v>175.95058799954086</v>
      </c>
      <c r="J46" s="113">
        <f t="shared" si="6"/>
        <v>2</v>
      </c>
      <c r="K46" s="105">
        <f t="shared" si="6"/>
        <v>176.97343463233699</v>
      </c>
      <c r="L46" s="113">
        <f t="shared" si="6"/>
        <v>3</v>
      </c>
      <c r="M46" s="105">
        <f t="shared" si="6"/>
        <v>186.61647005467398</v>
      </c>
      <c r="N46" s="113">
        <f t="shared" si="6"/>
        <v>5</v>
      </c>
      <c r="O46" s="105">
        <f t="shared" si="6"/>
        <v>188.93443194129014</v>
      </c>
    </row>
    <row r="47" spans="1:20">
      <c r="A47" s="78" t="s">
        <v>53</v>
      </c>
      <c r="D47" s="113">
        <f t="shared" ref="D47:E49" si="7">D37+B37</f>
        <v>0</v>
      </c>
      <c r="E47" s="105">
        <f t="shared" si="7"/>
        <v>0</v>
      </c>
      <c r="F47" s="112">
        <f t="shared" si="6"/>
        <v>0</v>
      </c>
      <c r="G47" s="105">
        <f t="shared" si="6"/>
        <v>0</v>
      </c>
      <c r="H47" s="113">
        <f t="shared" si="6"/>
        <v>1</v>
      </c>
      <c r="I47" s="105">
        <f t="shared" si="6"/>
        <v>2.024036160959596</v>
      </c>
      <c r="J47" s="113">
        <f t="shared" si="6"/>
        <v>1</v>
      </c>
      <c r="K47" s="105">
        <f t="shared" si="6"/>
        <v>2.024036160959596</v>
      </c>
      <c r="L47" s="113">
        <f t="shared" si="6"/>
        <v>1</v>
      </c>
      <c r="M47" s="105">
        <f t="shared" si="6"/>
        <v>2.024036160959596</v>
      </c>
      <c r="N47" s="113">
        <f t="shared" si="6"/>
        <v>2</v>
      </c>
      <c r="O47" s="105">
        <f t="shared" si="6"/>
        <v>3.1723911114118457</v>
      </c>
    </row>
    <row r="48" spans="1:20">
      <c r="A48" s="78" t="s">
        <v>54</v>
      </c>
      <c r="D48" s="113">
        <f t="shared" si="7"/>
        <v>0</v>
      </c>
      <c r="E48" s="105">
        <f t="shared" si="7"/>
        <v>0</v>
      </c>
      <c r="F48" s="112">
        <f t="shared" si="6"/>
        <v>0</v>
      </c>
      <c r="G48" s="105">
        <f t="shared" si="6"/>
        <v>0</v>
      </c>
      <c r="H48" s="113">
        <f t="shared" si="6"/>
        <v>1</v>
      </c>
      <c r="I48" s="105">
        <f t="shared" si="6"/>
        <v>2.0370446557231405</v>
      </c>
      <c r="J48" s="113">
        <f t="shared" si="6"/>
        <v>1</v>
      </c>
      <c r="K48" s="105">
        <f t="shared" si="6"/>
        <v>2.0370446557231405</v>
      </c>
      <c r="L48" s="113">
        <f t="shared" si="6"/>
        <v>1</v>
      </c>
      <c r="M48" s="105">
        <f t="shared" si="6"/>
        <v>2.0370446557231405</v>
      </c>
      <c r="N48" s="113">
        <f t="shared" si="6"/>
        <v>3</v>
      </c>
      <c r="O48" s="105">
        <f t="shared" si="6"/>
        <v>8.2403538660307625</v>
      </c>
    </row>
    <row r="49" spans="1:17">
      <c r="A49" s="79" t="s">
        <v>55</v>
      </c>
      <c r="D49" s="113">
        <f t="shared" si="7"/>
        <v>0</v>
      </c>
      <c r="E49" s="105">
        <f t="shared" si="7"/>
        <v>0</v>
      </c>
      <c r="F49" s="112">
        <f t="shared" si="6"/>
        <v>0</v>
      </c>
      <c r="G49" s="105">
        <f t="shared" si="6"/>
        <v>0</v>
      </c>
      <c r="H49" s="113">
        <f t="shared" si="6"/>
        <v>0</v>
      </c>
      <c r="I49" s="105">
        <f t="shared" si="6"/>
        <v>0</v>
      </c>
      <c r="J49" s="113">
        <f t="shared" si="6"/>
        <v>0</v>
      </c>
      <c r="K49" s="105">
        <f t="shared" si="6"/>
        <v>0</v>
      </c>
      <c r="L49" s="113">
        <f t="shared" si="6"/>
        <v>0</v>
      </c>
      <c r="M49" s="105">
        <f t="shared" si="6"/>
        <v>0</v>
      </c>
      <c r="N49" s="113">
        <f t="shared" si="6"/>
        <v>0</v>
      </c>
      <c r="O49" s="105">
        <f t="shared" si="6"/>
        <v>0</v>
      </c>
    </row>
    <row r="50" spans="1:17">
      <c r="A50" s="80" t="s">
        <v>19</v>
      </c>
      <c r="D50" s="116">
        <f t="shared" ref="D50:O50" si="8">SUM(D46:D49)</f>
        <v>1</v>
      </c>
      <c r="E50" s="115">
        <f t="shared" si="8"/>
        <v>175.95058799954086</v>
      </c>
      <c r="F50" s="117">
        <f t="shared" si="8"/>
        <v>1</v>
      </c>
      <c r="G50" s="115">
        <f t="shared" si="8"/>
        <v>175.95058799954086</v>
      </c>
      <c r="H50" s="117">
        <f t="shared" si="8"/>
        <v>3</v>
      </c>
      <c r="I50" s="115">
        <f t="shared" si="8"/>
        <v>180.01166881622359</v>
      </c>
      <c r="J50" s="115">
        <f t="shared" si="8"/>
        <v>4</v>
      </c>
      <c r="K50" s="115">
        <f t="shared" si="8"/>
        <v>181.03451544901972</v>
      </c>
      <c r="L50" s="117">
        <f t="shared" si="8"/>
        <v>5</v>
      </c>
      <c r="M50" s="115">
        <f t="shared" si="8"/>
        <v>190.67755087135671</v>
      </c>
      <c r="N50" s="117">
        <f t="shared" si="8"/>
        <v>10</v>
      </c>
      <c r="O50" s="115">
        <f t="shared" si="8"/>
        <v>200.34717691873277</v>
      </c>
    </row>
    <row r="54" spans="1:17" s="8" customFormat="1">
      <c r="A54" s="103" t="s">
        <v>6</v>
      </c>
      <c r="C54" s="62"/>
      <c r="E54" s="62"/>
      <c r="F54" s="63"/>
      <c r="G54" s="62"/>
      <c r="I54" s="62"/>
      <c r="K54" s="62"/>
      <c r="M54" s="62"/>
      <c r="O54" s="62"/>
      <c r="Q54" s="62"/>
    </row>
    <row r="55" spans="1:17">
      <c r="B55" s="119" t="s">
        <v>63</v>
      </c>
      <c r="C55" s="120"/>
      <c r="D55" s="119" t="s">
        <v>64</v>
      </c>
      <c r="E55" s="120"/>
      <c r="F55" s="121" t="s">
        <v>65</v>
      </c>
      <c r="G55" s="122"/>
      <c r="H55" s="121" t="s">
        <v>66</v>
      </c>
      <c r="I55" s="122"/>
      <c r="J55" s="119" t="s">
        <v>67</v>
      </c>
      <c r="K55" s="120"/>
      <c r="L55" s="119" t="s">
        <v>68</v>
      </c>
      <c r="M55" s="120"/>
      <c r="N55" s="119" t="s">
        <v>69</v>
      </c>
      <c r="O55" s="120"/>
    </row>
    <row r="56" spans="1:17">
      <c r="B56" s="123" t="s">
        <v>50</v>
      </c>
      <c r="C56" s="124" t="s">
        <v>51</v>
      </c>
      <c r="D56" s="123" t="s">
        <v>50</v>
      </c>
      <c r="E56" s="124" t="s">
        <v>51</v>
      </c>
      <c r="F56" s="125" t="s">
        <v>50</v>
      </c>
      <c r="G56" s="126" t="s">
        <v>51</v>
      </c>
      <c r="H56" s="125" t="s">
        <v>50</v>
      </c>
      <c r="I56" s="126" t="s">
        <v>51</v>
      </c>
      <c r="J56" s="123" t="s">
        <v>50</v>
      </c>
      <c r="K56" s="124" t="s">
        <v>51</v>
      </c>
      <c r="L56" s="123" t="s">
        <v>50</v>
      </c>
      <c r="M56" s="124" t="s">
        <v>51</v>
      </c>
      <c r="N56" s="123" t="s">
        <v>50</v>
      </c>
      <c r="O56" s="124" t="s">
        <v>51</v>
      </c>
    </row>
    <row r="57" spans="1:17">
      <c r="A57" s="127" t="s">
        <v>52</v>
      </c>
      <c r="B57" s="128">
        <f>COUNTIFS('[2]Brownfields_shrt fields'!AV:AV, "SLR Adjacent", '[2]Brownfields_shrt fields'!AJ:AJ, "Active", '[2]Brownfields_shrt fields'!AS:AS, 0)</f>
        <v>0</v>
      </c>
      <c r="C57" s="129">
        <f>SUMIFS('[2]Brownfields_shrt fields'!AU:AU,'[2]Brownfields_shrt fields'!AV:AV, "SLR Adjacent", '[2]Brownfields_shrt fields'!AJ:AJ, "Active", '[2]Brownfields_shrt fields'!AS:AS,0)</f>
        <v>0</v>
      </c>
      <c r="D57" s="128">
        <f>COUNTIFS('[2]Brownfields_shrt fields'!AV:AV, "SLR Adjacent", '[2]Brownfields_shrt fields'!AJ:AJ, "Active", '[2]Brownfields_shrt fields'!AS:AS, 1)</f>
        <v>0</v>
      </c>
      <c r="E57" s="129">
        <f>SUMIFS('[2]Brownfields_shrt fields'!AU:AU,'[2]Brownfields_shrt fields'!AV:AV, "SLR Adjacent", '[2]Brownfields_shrt fields'!AJ:AJ, "Active", '[2]Brownfields_shrt fields'!AS:AS,1)</f>
        <v>0</v>
      </c>
      <c r="F57" s="125">
        <f>COUNTIFS('[2]Brownfields_shrt fields'!AV:AV, "SLR Adjacent", '[2]Brownfields_shrt fields'!AJ:AJ, "Active", '[2]Brownfields_shrt fields'!AS:AS, 2)</f>
        <v>0</v>
      </c>
      <c r="G57" s="126">
        <f>SUMIFS('[2]Brownfields_shrt fields'!AU:AU,'[2]Brownfields_shrt fields'!AV:AV, "SLR Adjacent", '[2]Brownfields_shrt fields'!AJ:AJ, "Active", '[2]Brownfields_shrt fields'!AS:AS,2)</f>
        <v>0</v>
      </c>
      <c r="H57" s="125">
        <f>COUNTIFS('[2]Brownfields_shrt fields'!AV:AV, "SLR Adjacent", '[2]Brownfields_shrt fields'!AJ:AJ, "Active", '[2]Brownfields_shrt fields'!AS:AS, 3)</f>
        <v>0</v>
      </c>
      <c r="I57" s="126">
        <f>SUMIFS('[2]Brownfields_shrt fields'!AU:AU,'[2]Brownfields_shrt fields'!AV:AV, "SLR Adjacent", '[2]Brownfields_shrt fields'!AJ:AJ, "Active", '[2]Brownfields_shrt fields'!AS:AS,3)</f>
        <v>0</v>
      </c>
      <c r="J57" s="128">
        <f>COUNTIFS('[2]Brownfields_shrt fields'!AV:AV, "SLR Adjacent", '[2]Brownfields_shrt fields'!AJ:AJ, "Active", '[2]Brownfields_shrt fields'!AS:AS, 4)</f>
        <v>0</v>
      </c>
      <c r="K57" s="129">
        <f>SUMIFS('[2]Brownfields_shrt fields'!AU:AU,'[2]Brownfields_shrt fields'!AV:AV, "SLR Adjacent", '[2]Brownfields_shrt fields'!AJ:AJ, "Active", '[2]Brownfields_shrt fields'!AS:AS,4)</f>
        <v>0</v>
      </c>
      <c r="L57" s="128">
        <f>COUNTIFS('[2]Brownfields_shrt fields'!AV:AV, "SLR Adjacent", '[2]Brownfields_shrt fields'!AJ:AJ, "Active", '[2]Brownfields_shrt fields'!AS:AS, 5)</f>
        <v>0</v>
      </c>
      <c r="M57" s="129">
        <f>SUMIFS('[2]Brownfields_shrt fields'!AU:AU,'[2]Brownfields_shrt fields'!AV:AV, "SLR Adjacent", '[2]Brownfields_shrt fields'!AJ:AJ, "Active", '[2]Brownfields_shrt fields'!AS:AS,5)</f>
        <v>0</v>
      </c>
      <c r="N57" s="128">
        <f>COUNTIFS('[2]Brownfields_shrt fields'!AV:AV, "SLR Adjacent", '[2]Brownfields_shrt fields'!AJ:AJ, "Active", '[2]Brownfields_shrt fields'!AS:AS, 6)</f>
        <v>0</v>
      </c>
      <c r="O57" s="129">
        <f>SUMIFS('[2]Brownfields_shrt fields'!AU:AU,'[2]Brownfields_shrt fields'!AV:AV, "SLR Adjacent", '[2]Brownfields_shrt fields'!AJ:AJ, "Active", '[2]Brownfields_shrt fields'!AS:AS,6)</f>
        <v>0</v>
      </c>
    </row>
    <row r="58" spans="1:17">
      <c r="A58" s="130" t="s">
        <v>53</v>
      </c>
      <c r="B58" s="131">
        <f>COUNTIFS('[2]Brownfields_shrt fields'!AV:AV, "SLR Adjacent", '[2]Brownfields_shrt fields'!AJ:AJ, "Certified / Operation &amp; Maintenance", '[2]Brownfields_shrt fields'!AS:AS, 0)</f>
        <v>0</v>
      </c>
      <c r="C58" s="129">
        <f>SUMIFS('[2]Brownfields_shrt fields'!AU:AU,'[2]Brownfields_shrt fields'!AV:AV, "SLR Adjacent", '[2]Brownfields_shrt fields'!AJ:AJ, "Certified / Operation &amp; Maintenance", '[2]Brownfields_shrt fields'!AS:AS,0)</f>
        <v>0</v>
      </c>
      <c r="D58" s="131">
        <f>COUNTIFS('[2]Brownfields_shrt fields'!AV:AV, "SLR Adjacent", '[2]Brownfields_shrt fields'!AJ:AJ, "Certified / Operation &amp; Maintenance", '[2]Brownfields_shrt fields'!AS:AS, 1)</f>
        <v>0</v>
      </c>
      <c r="E58" s="129">
        <f>SUMIFS('[2]Brownfields_shrt fields'!AU:AU,'[2]Brownfields_shrt fields'!AV:AV, "SLR Adjacent", '[2]Brownfields_shrt fields'!AJ:AJ, "Certified / Operation &amp; Maintenance", '[2]Brownfields_shrt fields'!AS:AS,1)</f>
        <v>0</v>
      </c>
      <c r="F58" s="132">
        <f>COUNTIFS('[2]Brownfields_shrt fields'!AV:AV, "SLR Adjacent", '[2]Brownfields_shrt fields'!AJ:AJ, "Certified / Operation &amp; Maintenance", '[2]Brownfields_shrt fields'!AS:AS, 2)</f>
        <v>0</v>
      </c>
      <c r="G58" s="126">
        <f>SUMIFS('[2]Brownfields_shrt fields'!AU:AU,'[2]Brownfields_shrt fields'!AV:AV, "SLR Adjacent", '[2]Brownfields_shrt fields'!AJ:AJ, "Certified / Operation &amp; Maintenance", '[2]Brownfields_shrt fields'!AS:AS,2)</f>
        <v>0</v>
      </c>
      <c r="H58" s="132">
        <f>COUNTIFS('[2]Brownfields_shrt fields'!AV:AV, "SLR Adjacent", '[2]Brownfields_shrt fields'!AJ:AJ, "Certified / Operation &amp; Maintenance", '[2]Brownfields_shrt fields'!AS:AS, 3)</f>
        <v>0</v>
      </c>
      <c r="I58" s="126">
        <f>SUMIFS('[2]Brownfields_shrt fields'!AU:AU,'[2]Brownfields_shrt fields'!AV:AV, "SLR Adjacent", '[2]Brownfields_shrt fields'!AJ:AJ, "Certified / Operation &amp; Maintenance", '[2]Brownfields_shrt fields'!AS:AS,3)</f>
        <v>0</v>
      </c>
      <c r="J58" s="131">
        <f>COUNTIFS('[2]Brownfields_shrt fields'!AV:AV, "SLR Adjacent", '[2]Brownfields_shrt fields'!AJ:AJ, "Certified / Operation &amp; Maintenance", '[2]Brownfields_shrt fields'!AS:AS, 4)</f>
        <v>0</v>
      </c>
      <c r="K58" s="129">
        <f>SUMIFS('[2]Brownfields_shrt fields'!AU:AU,'[2]Brownfields_shrt fields'!AV:AV, "SLR Adjacent", '[2]Brownfields_shrt fields'!AJ:AJ, "Certified / Operation &amp; Maintenance", '[2]Brownfields_shrt fields'!AS:AS,4)</f>
        <v>0</v>
      </c>
      <c r="L58" s="131">
        <f>COUNTIFS('[2]Brownfields_shrt fields'!AV:AV, "SLR Adjacent", '[2]Brownfields_shrt fields'!AJ:AJ, "Certified / Operation &amp; Maintenance", '[2]Brownfields_shrt fields'!AS:AS, 5)</f>
        <v>0</v>
      </c>
      <c r="M58" s="129">
        <f>SUMIFS('[2]Brownfields_shrt fields'!AU:AU,'[2]Brownfields_shrt fields'!AV:AV, "SLR Adjacent", '[2]Brownfields_shrt fields'!AJ:AJ, "Certified / Operation &amp; Maintenance", '[2]Brownfields_shrt fields'!AS:AS,5)</f>
        <v>0</v>
      </c>
      <c r="N58" s="131">
        <f>COUNTIFS('[2]Brownfields_shrt fields'!AV:AV, "SLR Adjacent", '[2]Brownfields_shrt fields'!AJ:AJ, "Certified / Operation &amp; Maintenance", '[2]Brownfields_shrt fields'!AS:AS, 6)</f>
        <v>0</v>
      </c>
      <c r="O58" s="129">
        <f>SUMIFS('[2]Brownfields_shrt fields'!AU:AU,'[2]Brownfields_shrt fields'!AV:AV, "SLR Adjacent", '[2]Brownfields_shrt fields'!AJ:AJ, "Certified / Operation &amp; Maintenance", '[2]Brownfields_shrt fields'!AS:AS,6)</f>
        <v>0</v>
      </c>
    </row>
    <row r="59" spans="1:17">
      <c r="A59" s="130" t="s">
        <v>54</v>
      </c>
      <c r="B59" s="131">
        <f>COUNTIFS('[2]Brownfields_shrt fields'!AV:AV, "SLR Adjacent", '[2]Brownfields_shrt fields'!AJ:AJ, "Certified O&amp;M - Land Use Restrictions Only", '[2]Brownfields_shrt fields'!AS:AS, 0)</f>
        <v>0</v>
      </c>
      <c r="C59" s="129">
        <f>SUMIFS('[2]Brownfields_shrt fields'!AU:AU,'[2]Brownfields_shrt fields'!AV:AV, "SLR Adjacent", '[2]Brownfields_shrt fields'!AJ:AJ, "Certified O&amp;M - Land Use Restrictions Only", '[2]Brownfields_shrt fields'!AS:AS,0)</f>
        <v>0</v>
      </c>
      <c r="D59" s="131">
        <f>COUNTIFS('[2]Brownfields_shrt fields'!AV:AV, "SLR Adjacent", '[2]Brownfields_shrt fields'!AJ:AJ, "Certified O&amp;M - Land Use Restrictions Only", '[2]Brownfields_shrt fields'!AS:AS, 1)</f>
        <v>0</v>
      </c>
      <c r="E59" s="129">
        <f>SUMIFS('[2]Brownfields_shrt fields'!AU:AU,'[2]Brownfields_shrt fields'!AV:AV, "SLR Adjacent", '[2]Brownfields_shrt fields'!AJ:AJ, "Certified O&amp;M - Land Use Restrictions Only", '[2]Brownfields_shrt fields'!AS:AS,1)</f>
        <v>0</v>
      </c>
      <c r="F59" s="132">
        <f>COUNTIFS('[2]Brownfields_shrt fields'!AV:AV, "SLR Adjacent", '[2]Brownfields_shrt fields'!AJ:AJ, "Certified O&amp;M - Land Use Restrictions Only", '[2]Brownfields_shrt fields'!AS:AS, 2)</f>
        <v>0</v>
      </c>
      <c r="G59" s="126">
        <f>SUMIFS('[2]Brownfields_shrt fields'!AU:AU,'[2]Brownfields_shrt fields'!AV:AV, "SLR Adjacent", '[2]Brownfields_shrt fields'!AJ:AJ, "Certified O&amp;M - Land Use Restrictions Only", '[2]Brownfields_shrt fields'!AS:AS,2)</f>
        <v>0</v>
      </c>
      <c r="H59" s="132">
        <f>COUNTIFS('[2]Brownfields_shrt fields'!AV:AV, "SLR Adjacent", '[2]Brownfields_shrt fields'!AJ:AJ, "Certified O&amp;M - Land Use Restrictions Only", '[2]Brownfields_shrt fields'!AS:AS, 3)</f>
        <v>0</v>
      </c>
      <c r="I59" s="126">
        <f>SUMIFS('[2]Brownfields_shrt fields'!AU:AU,'[2]Brownfields_shrt fields'!AV:AV, "SLR Adjacent", '[2]Brownfields_shrt fields'!AJ:AJ, "Certified O&amp;M - Land Use Restrictions Only", '[2]Brownfields_shrt fields'!AS:AS,3)</f>
        <v>0</v>
      </c>
      <c r="J59" s="131">
        <f>COUNTIFS('[2]Brownfields_shrt fields'!AV:AV, "SLR Adjacent", '[2]Brownfields_shrt fields'!AJ:AJ, "Certified O&amp;M - Land Use Restrictions Only", '[2]Brownfields_shrt fields'!AS:AS, 4)</f>
        <v>0</v>
      </c>
      <c r="K59" s="129">
        <f>SUMIFS('[2]Brownfields_shrt fields'!AU:AU,'[2]Brownfields_shrt fields'!AV:AV, "SLR Adjacent", '[2]Brownfields_shrt fields'!AJ:AJ, "Certified O&amp;M - Land Use Restrictions Only", '[2]Brownfields_shrt fields'!AS:AS,4)</f>
        <v>0</v>
      </c>
      <c r="L59" s="131">
        <f>COUNTIFS('[2]Brownfields_shrt fields'!AV:AV, "SLR Adjacent", '[2]Brownfields_shrt fields'!AJ:AJ, "Certified O&amp;M - Land Use Restrictions Only", '[2]Brownfields_shrt fields'!AS:AS, 5)</f>
        <v>0</v>
      </c>
      <c r="M59" s="129">
        <f>SUMIFS('[2]Brownfields_shrt fields'!AU:AU,'[2]Brownfields_shrt fields'!AV:AV, "SLR Adjacent", '[2]Brownfields_shrt fields'!AJ:AJ, "Certified O&amp;M - Land Use Restrictions Only", '[2]Brownfields_shrt fields'!AS:AS,5)</f>
        <v>0</v>
      </c>
      <c r="N59" s="131">
        <f>COUNTIFS('[2]Brownfields_shrt fields'!AV:AV, "SLR Adjacent", '[2]Brownfields_shrt fields'!AJ:AJ, "Certified O&amp;M - Land Use Restrictions Only", '[2]Brownfields_shrt fields'!AS:AS, 6)</f>
        <v>1</v>
      </c>
      <c r="O59" s="129">
        <f>SUMIFS('[2]Brownfields_shrt fields'!AU:AU,'[2]Brownfields_shrt fields'!AV:AV, "SLR Adjacent", '[2]Brownfields_shrt fields'!AJ:AJ, "Certified O&amp;M - Land Use Restrictions Only", '[2]Brownfields_shrt fields'!AS:AS,6)</f>
        <v>13.118685910973371</v>
      </c>
    </row>
    <row r="60" spans="1:17">
      <c r="A60" s="127" t="s">
        <v>55</v>
      </c>
      <c r="B60" s="131">
        <f>COUNTIFS('[2]Brownfields_shrt fields'!AV:AV, "SLR Adjacent", '[2]Brownfields_shrt fields'!AJ:AJ, "Inactive - Action Required", '[2]Brownfields_shrt fields'!AS:AS, 0)</f>
        <v>0</v>
      </c>
      <c r="C60" s="129">
        <f>SUMIFS('[2]Brownfields_shrt fields'!AU:AU,'[2]Brownfields_shrt fields'!AV:AV, "SLR Adjacent", '[2]Brownfields_shrt fields'!AJ:AJ, "Inactive - Action Required", '[2]Brownfields_shrt fields'!AS:AS,0)</f>
        <v>0</v>
      </c>
      <c r="D60" s="131">
        <f>COUNTIFS('[2]Brownfields_shrt fields'!AV:AV, "SLR Adjacent", '[2]Brownfields_shrt fields'!AJ:AJ, "Inactive - Action Required", '[2]Brownfields_shrt fields'!AS:AS, 1)</f>
        <v>0</v>
      </c>
      <c r="E60" s="129">
        <f>SUMIFS('[2]Brownfields_shrt fields'!AU:AU,'[2]Brownfields_shrt fields'!AV:AV, "SLR Adjacent", '[2]Brownfields_shrt fields'!AJ:AJ, "Inactive - Action Required", '[2]Brownfields_shrt fields'!AS:AS,1)</f>
        <v>0</v>
      </c>
      <c r="F60" s="132">
        <f>COUNTIFS('[2]Brownfields_shrt fields'!AV:AV, "SLR Adjacent", '[2]Brownfields_shrt fields'!AJ:AJ, "Inactive - Action Required", '[2]Brownfields_shrt fields'!AS:AS, 2)</f>
        <v>0</v>
      </c>
      <c r="G60" s="126">
        <f>SUMIFS('[2]Brownfields_shrt fields'!AU:AU,'[2]Brownfields_shrt fields'!AV:AV, "SLR Adjacent", '[2]Brownfields_shrt fields'!AJ:AJ, "Inactive - Action Required", '[2]Brownfields_shrt fields'!AS:AS,2)</f>
        <v>0</v>
      </c>
      <c r="H60" s="132">
        <f>COUNTIFS('[2]Brownfields_shrt fields'!AV:AV, "SLR Adjacent", '[2]Brownfields_shrt fields'!AJ:AJ, "Inactive - Action Required", '[2]Brownfields_shrt fields'!AS:AS, 3)</f>
        <v>0</v>
      </c>
      <c r="I60" s="126">
        <f>SUMIFS('[2]Brownfields_shrt fields'!AU:AU,'[2]Brownfields_shrt fields'!AV:AV, "SLR Adjacent", '[2]Brownfields_shrt fields'!AJ:AJ, "Inactive - Action Required", '[2]Brownfields_shrt fields'!AS:AS,3)</f>
        <v>0</v>
      </c>
      <c r="J60" s="131">
        <f>COUNTIFS('[2]Brownfields_shrt fields'!AV:AV, "SLR Adjacent", '[2]Brownfields_shrt fields'!AJ:AJ, "Inactive - Action Required", '[2]Brownfields_shrt fields'!AS:AS, 4)</f>
        <v>0</v>
      </c>
      <c r="K60" s="129">
        <f>SUMIFS('[2]Brownfields_shrt fields'!AU:AU,'[2]Brownfields_shrt fields'!AV:AV, "SLR Adjacent", '[2]Brownfields_shrt fields'!AJ:AJ, "Inactive - Action Required", '[2]Brownfields_shrt fields'!AS:AS,4)</f>
        <v>0</v>
      </c>
      <c r="L60" s="131">
        <f>COUNTIFS('[2]Brownfields_shrt fields'!AV:AV, "SLR Adjacent", '[2]Brownfields_shrt fields'!AJ:AJ, "Inactive - Action Required", '[2]Brownfields_shrt fields'!AS:AS, 5)</f>
        <v>0</v>
      </c>
      <c r="M60" s="129">
        <f>SUMIFS('[2]Brownfields_shrt fields'!AU:AU,'[2]Brownfields_shrt fields'!AV:AV, "SLR Adjacent", '[2]Brownfields_shrt fields'!AJ:AJ, "Inactive - Action Required", '[2]Brownfields_shrt fields'!AS:AS,5)</f>
        <v>0</v>
      </c>
      <c r="N60" s="131">
        <v>0</v>
      </c>
      <c r="O60" s="129">
        <v>0</v>
      </c>
    </row>
    <row r="61" spans="1:17">
      <c r="A61" s="133" t="s">
        <v>19</v>
      </c>
      <c r="B61" s="134">
        <f>SUM(B57:B60)</f>
        <v>0</v>
      </c>
      <c r="C61" s="135">
        <f t="shared" ref="C61:O61" si="9">SUM(C57:C60)</f>
        <v>0</v>
      </c>
      <c r="D61" s="134">
        <f t="shared" si="9"/>
        <v>0</v>
      </c>
      <c r="E61" s="135">
        <f t="shared" si="9"/>
        <v>0</v>
      </c>
      <c r="F61" s="134">
        <f t="shared" si="9"/>
        <v>0</v>
      </c>
      <c r="G61" s="135">
        <f t="shared" si="9"/>
        <v>0</v>
      </c>
      <c r="H61" s="134">
        <f t="shared" si="9"/>
        <v>0</v>
      </c>
      <c r="I61" s="135">
        <f t="shared" si="9"/>
        <v>0</v>
      </c>
      <c r="J61" s="134">
        <f t="shared" si="9"/>
        <v>0</v>
      </c>
      <c r="K61" s="135">
        <f t="shared" si="9"/>
        <v>0</v>
      </c>
      <c r="L61" s="134">
        <f t="shared" si="9"/>
        <v>0</v>
      </c>
      <c r="M61" s="135">
        <f t="shared" si="9"/>
        <v>0</v>
      </c>
      <c r="N61" s="134">
        <f t="shared" si="9"/>
        <v>1</v>
      </c>
      <c r="O61" s="135">
        <f t="shared" si="9"/>
        <v>13.118685910973371</v>
      </c>
    </row>
    <row r="64" spans="1:17">
      <c r="A64" s="35" t="s">
        <v>20</v>
      </c>
    </row>
    <row r="65" spans="1:15">
      <c r="A65" s="38"/>
      <c r="D65" s="119" t="s">
        <v>64</v>
      </c>
      <c r="E65" s="120"/>
      <c r="F65" s="121" t="s">
        <v>65</v>
      </c>
      <c r="G65" s="122"/>
      <c r="H65" s="121" t="s">
        <v>66</v>
      </c>
      <c r="I65" s="122"/>
      <c r="J65" s="119" t="s">
        <v>67</v>
      </c>
      <c r="K65" s="120"/>
      <c r="L65" s="119" t="s">
        <v>68</v>
      </c>
      <c r="M65" s="120"/>
      <c r="N65" s="119" t="s">
        <v>69</v>
      </c>
      <c r="O65" s="120"/>
    </row>
    <row r="66" spans="1:15">
      <c r="A66" s="38"/>
      <c r="D66" s="136" t="s">
        <v>50</v>
      </c>
      <c r="E66" s="124" t="s">
        <v>51</v>
      </c>
      <c r="F66" s="125" t="s">
        <v>50</v>
      </c>
      <c r="G66" s="126" t="s">
        <v>51</v>
      </c>
      <c r="H66" s="125" t="s">
        <v>50</v>
      </c>
      <c r="I66" s="126" t="s">
        <v>51</v>
      </c>
      <c r="J66" s="123" t="s">
        <v>50</v>
      </c>
      <c r="K66" s="124" t="s">
        <v>51</v>
      </c>
      <c r="L66" s="123" t="s">
        <v>50</v>
      </c>
      <c r="M66" s="124" t="s">
        <v>51</v>
      </c>
      <c r="N66" s="123" t="s">
        <v>50</v>
      </c>
      <c r="O66" s="124" t="s">
        <v>51</v>
      </c>
    </row>
    <row r="67" spans="1:15">
      <c r="A67" s="96" t="s">
        <v>52</v>
      </c>
      <c r="D67" s="136">
        <f>D57+B57</f>
        <v>0</v>
      </c>
      <c r="E67" s="129">
        <f>E57+C57</f>
        <v>0</v>
      </c>
      <c r="F67" s="125">
        <f t="shared" ref="F67:O70" si="10">F57+D67</f>
        <v>0</v>
      </c>
      <c r="G67" s="126">
        <f t="shared" si="10"/>
        <v>0</v>
      </c>
      <c r="H67" s="125">
        <f t="shared" si="10"/>
        <v>0</v>
      </c>
      <c r="I67" s="126">
        <f t="shared" si="10"/>
        <v>0</v>
      </c>
      <c r="J67" s="128">
        <f t="shared" si="10"/>
        <v>0</v>
      </c>
      <c r="K67" s="129">
        <f t="shared" si="10"/>
        <v>0</v>
      </c>
      <c r="L67" s="128">
        <f t="shared" si="10"/>
        <v>0</v>
      </c>
      <c r="M67" s="129">
        <f t="shared" si="10"/>
        <v>0</v>
      </c>
      <c r="N67" s="128">
        <f t="shared" si="10"/>
        <v>0</v>
      </c>
      <c r="O67" s="129">
        <f t="shared" si="10"/>
        <v>0</v>
      </c>
    </row>
    <row r="68" spans="1:15">
      <c r="A68" s="78" t="s">
        <v>53</v>
      </c>
      <c r="D68" s="136">
        <f t="shared" ref="D68:E70" si="11">D58+B58</f>
        <v>0</v>
      </c>
      <c r="E68" s="129">
        <f t="shared" si="11"/>
        <v>0</v>
      </c>
      <c r="F68" s="125">
        <f t="shared" si="10"/>
        <v>0</v>
      </c>
      <c r="G68" s="126">
        <f t="shared" si="10"/>
        <v>0</v>
      </c>
      <c r="H68" s="125">
        <f t="shared" si="10"/>
        <v>0</v>
      </c>
      <c r="I68" s="126">
        <f t="shared" si="10"/>
        <v>0</v>
      </c>
      <c r="J68" s="128">
        <f t="shared" si="10"/>
        <v>0</v>
      </c>
      <c r="K68" s="129">
        <f t="shared" si="10"/>
        <v>0</v>
      </c>
      <c r="L68" s="128">
        <f t="shared" si="10"/>
        <v>0</v>
      </c>
      <c r="M68" s="129">
        <f t="shared" si="10"/>
        <v>0</v>
      </c>
      <c r="N68" s="128">
        <f t="shared" si="10"/>
        <v>0</v>
      </c>
      <c r="O68" s="129">
        <f t="shared" si="10"/>
        <v>0</v>
      </c>
    </row>
    <row r="69" spans="1:15">
      <c r="A69" s="78" t="s">
        <v>54</v>
      </c>
      <c r="D69" s="136">
        <f t="shared" si="11"/>
        <v>0</v>
      </c>
      <c r="E69" s="129">
        <f t="shared" si="11"/>
        <v>0</v>
      </c>
      <c r="F69" s="125">
        <f t="shared" si="10"/>
        <v>0</v>
      </c>
      <c r="G69" s="126">
        <f t="shared" si="10"/>
        <v>0</v>
      </c>
      <c r="H69" s="125">
        <f t="shared" si="10"/>
        <v>0</v>
      </c>
      <c r="I69" s="126">
        <f t="shared" si="10"/>
        <v>0</v>
      </c>
      <c r="J69" s="128">
        <f t="shared" si="10"/>
        <v>0</v>
      </c>
      <c r="K69" s="129">
        <f t="shared" si="10"/>
        <v>0</v>
      </c>
      <c r="L69" s="128">
        <f t="shared" si="10"/>
        <v>0</v>
      </c>
      <c r="M69" s="129">
        <f t="shared" si="10"/>
        <v>0</v>
      </c>
      <c r="N69" s="128">
        <f t="shared" si="10"/>
        <v>1</v>
      </c>
      <c r="O69" s="129">
        <f t="shared" si="10"/>
        <v>13.118685910973371</v>
      </c>
    </row>
    <row r="70" spans="1:15">
      <c r="A70" s="79" t="s">
        <v>55</v>
      </c>
      <c r="D70" s="136">
        <f t="shared" si="11"/>
        <v>0</v>
      </c>
      <c r="E70" s="129">
        <f t="shared" si="11"/>
        <v>0</v>
      </c>
      <c r="F70" s="125">
        <f t="shared" si="10"/>
        <v>0</v>
      </c>
      <c r="G70" s="126">
        <f t="shared" si="10"/>
        <v>0</v>
      </c>
      <c r="H70" s="125">
        <f t="shared" si="10"/>
        <v>0</v>
      </c>
      <c r="I70" s="126">
        <f t="shared" si="10"/>
        <v>0</v>
      </c>
      <c r="J70" s="128">
        <f t="shared" si="10"/>
        <v>0</v>
      </c>
      <c r="K70" s="129">
        <f t="shared" si="10"/>
        <v>0</v>
      </c>
      <c r="L70" s="128">
        <f t="shared" si="10"/>
        <v>0</v>
      </c>
      <c r="M70" s="129">
        <f t="shared" si="10"/>
        <v>0</v>
      </c>
      <c r="N70" s="128">
        <f t="shared" si="10"/>
        <v>0</v>
      </c>
      <c r="O70" s="129">
        <f t="shared" si="10"/>
        <v>0</v>
      </c>
    </row>
    <row r="71" spans="1:15">
      <c r="A71" s="80" t="s">
        <v>19</v>
      </c>
      <c r="D71" s="137">
        <f>SUM(D67:D70)</f>
        <v>0</v>
      </c>
      <c r="E71" s="138">
        <f t="shared" ref="E71:O71" si="12">SUM(E67:E70)</f>
        <v>0</v>
      </c>
      <c r="F71" s="137">
        <f t="shared" si="12"/>
        <v>0</v>
      </c>
      <c r="G71" s="138">
        <f t="shared" si="12"/>
        <v>0</v>
      </c>
      <c r="H71" s="137">
        <f t="shared" si="12"/>
        <v>0</v>
      </c>
      <c r="I71" s="138">
        <f t="shared" si="12"/>
        <v>0</v>
      </c>
      <c r="J71" s="137">
        <f t="shared" si="12"/>
        <v>0</v>
      </c>
      <c r="K71" s="138">
        <f t="shared" si="12"/>
        <v>0</v>
      </c>
      <c r="L71" s="137">
        <f t="shared" si="12"/>
        <v>0</v>
      </c>
      <c r="M71" s="138">
        <f t="shared" si="12"/>
        <v>0</v>
      </c>
      <c r="N71" s="137">
        <f t="shared" si="12"/>
        <v>1</v>
      </c>
      <c r="O71" s="138">
        <f t="shared" si="12"/>
        <v>13.118685910973371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zoomScale="125" zoomScaleNormal="125" zoomScalePageLayoutView="125" workbookViewId="0">
      <pane xSplit="1" topLeftCell="B1" activePane="topRight" state="frozen"/>
      <selection pane="topRight" sqref="A1:XFD1048576"/>
    </sheetView>
  </sheetViews>
  <sheetFormatPr baseColWidth="10" defaultRowHeight="14" x14ac:dyDescent="0"/>
  <cols>
    <col min="1" max="1" width="62.33203125" style="15" customWidth="1"/>
    <col min="2" max="2" width="10.83203125" style="2"/>
    <col min="3" max="9" width="18" style="3" customWidth="1"/>
    <col min="10" max="16384" width="10.83203125" style="4"/>
  </cols>
  <sheetData>
    <row r="2" spans="1:12">
      <c r="A2" s="1" t="s">
        <v>27</v>
      </c>
    </row>
    <row r="3" spans="1:12" s="8" customFormat="1">
      <c r="A3" s="5" t="s">
        <v>1</v>
      </c>
      <c r="B3" s="6">
        <f>I36</f>
        <v>9.9079154234519997</v>
      </c>
      <c r="C3" s="7"/>
      <c r="D3" s="7"/>
      <c r="E3" s="7"/>
      <c r="F3" s="7"/>
      <c r="G3" s="7"/>
      <c r="H3" s="7"/>
      <c r="I3" s="7"/>
    </row>
    <row r="4" spans="1:12" s="12" customFormat="1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pans="1:12">
      <c r="A5" s="13" t="s">
        <v>3</v>
      </c>
    </row>
    <row r="6" spans="1:12">
      <c r="A6" s="14" t="s">
        <v>4</v>
      </c>
    </row>
    <row r="9" spans="1:12">
      <c r="B9" s="2" t="s">
        <v>5</v>
      </c>
    </row>
    <row r="10" spans="1:12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K10" s="18"/>
      <c r="L10" s="18" t="s">
        <v>7</v>
      </c>
    </row>
    <row r="11" spans="1:12" s="21" customFormat="1">
      <c r="A11" s="14"/>
      <c r="B11" s="19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15</v>
      </c>
      <c r="J11" s="18"/>
      <c r="K11" s="18"/>
      <c r="L11" s="18"/>
    </row>
    <row r="12" spans="1:12" s="21" customFormat="1">
      <c r="A12" s="22"/>
      <c r="B12" s="23" t="s">
        <v>16</v>
      </c>
      <c r="C12" s="24" t="s">
        <v>16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  <c r="J12" s="18"/>
      <c r="K12" s="18"/>
      <c r="L12" s="18"/>
    </row>
    <row r="13" spans="1:12">
      <c r="A13" s="41" t="s">
        <v>28</v>
      </c>
      <c r="B13" s="53">
        <f>SUMIFS('[1]Bay Trail NFHL'!J:J,'[1]Bay Trail NFHL'!E:E, "Caltrans")</f>
        <v>0.58757709999999996</v>
      </c>
      <c r="C13" s="54">
        <f>SUMIFS('[1]Bay Trail SLR'!K:K,'[1]Bay Trail SLR'!F:F, "Caltrans", '[1]Bay Trail SLR'!J:J, 0)</f>
        <v>0.45632686</v>
      </c>
      <c r="D13" s="54">
        <f>SUMIFS('[1]Bay Trail SLR'!K:K,'[1]Bay Trail SLR'!F:F, "Caltrans", '[1]Bay Trail SLR'!J:J, 1)</f>
        <v>0</v>
      </c>
      <c r="E13" s="54">
        <f>SUMIFS('[1]Bay Trail SLR'!K:K,'[1]Bay Trail SLR'!F:F, "Caltrans", '[1]Bay Trail SLR'!J:J, 2)</f>
        <v>3.6516059999999999E-3</v>
      </c>
      <c r="F13" s="54">
        <f>SUMIFS('[1]Bay Trail SLR'!K:K,'[1]Bay Trail SLR'!F:F, "Caltrans", '[1]Bay Trail SLR'!J:J, 3)</f>
        <v>3.1071829999999999E-3</v>
      </c>
      <c r="G13" s="54">
        <f>SUMIFS('[1]Bay Trail SLR'!K:K,'[1]Bay Trail SLR'!F:F, "Caltrans", '[1]Bay Trail SLR'!J:J, 4)</f>
        <v>2.0509080000000002E-3</v>
      </c>
      <c r="H13" s="54">
        <f>SUMIFS('[1]Bay Trail SLR'!K:K,'[1]Bay Trail SLR'!F:F, "Caltrans", '[1]Bay Trail SLR'!J:J, 5)</f>
        <v>7.2854180000000003E-4</v>
      </c>
      <c r="I13" s="54">
        <f>SUMIFS('[1]Bay Trail SLR'!K:K,'[1]Bay Trail SLR'!F:F, "Caltrans", '[1]Bay Trail SLR'!J:J, 6)</f>
        <v>4.2302099999999999E-3</v>
      </c>
      <c r="J13" s="18"/>
      <c r="K13" s="18"/>
      <c r="L13" s="18"/>
    </row>
    <row r="14" spans="1:12">
      <c r="A14" s="41" t="s">
        <v>29</v>
      </c>
      <c r="B14" s="53">
        <f>SUMIFS('[1]Bay Trail NFHL'!J:J,'[1]Bay Trail NFHL'!E:E, "Contra Costa County Public Works")</f>
        <v>2.7882285899999997</v>
      </c>
      <c r="C14" s="54">
        <f>SUMIFS('[1]Bay Trail SLR'!K:K,'[1]Bay Trail SLR'!F:F, "Contra Costa County Public Works", '[1]Bay Trail SLR'!J:J, 0)</f>
        <v>6.2057199999999996E-3</v>
      </c>
      <c r="D14" s="54">
        <f>SUMIFS('[1]Bay Trail SLR'!K:K,'[1]Bay Trail SLR'!F:F, "Contra Costa County Public Works", '[1]Bay Trail SLR'!J:J, 1)</f>
        <v>0</v>
      </c>
      <c r="E14" s="54">
        <f>SUMIFS('[1]Bay Trail SLR'!K:K,'[1]Bay Trail SLR'!F:F, "Contra Costa County Public Works", '[1]Bay Trail SLR'!J:J, 2)</f>
        <v>1.91963367E-2</v>
      </c>
      <c r="F14" s="54">
        <f>SUMIFS('[1]Bay Trail SLR'!K:K,'[1]Bay Trail SLR'!F:F, "Contra Costa County Public Works", '[1]Bay Trail SLR'!J:J, 3)</f>
        <v>3.3499334999999998E-2</v>
      </c>
      <c r="G14" s="54">
        <f>SUMIFS('[1]Bay Trail SLR'!K:K,'[1]Bay Trail SLR'!F:F, "Contra Costa County Public Works", '[1]Bay Trail SLR'!J:J, 4)</f>
        <v>0.15694077470000009</v>
      </c>
      <c r="H14" s="54">
        <f>SUMIFS('[1]Bay Trail SLR'!K:K,'[1]Bay Trail SLR'!F:F, "Contra Costa County Public Works", '[1]Bay Trail SLR'!J:J, 5)</f>
        <v>0.17360815499999999</v>
      </c>
      <c r="I14" s="54">
        <f>SUMIFS('[1]Bay Trail SLR'!K:K,'[1]Bay Trail SLR'!F:F, "Contra Costa County Public Works", '[1]Bay Trail SLR'!J:J, 6)</f>
        <v>0.37867553310999985</v>
      </c>
      <c r="J14" s="18"/>
      <c r="K14" s="18"/>
      <c r="L14" s="18"/>
    </row>
    <row r="15" spans="1:12">
      <c r="A15" s="41" t="s">
        <v>30</v>
      </c>
      <c r="B15" s="53">
        <f>SUMIFS('[1]Bay Trail NFHL'!J:J,'[1]Bay Trail NFHL'!E:E, "East Bay Regional Park District")</f>
        <v>1.5675209219999999</v>
      </c>
      <c r="C15" s="54">
        <f>SUMIFS('[1]Bay Trail SLR'!K:K,'[1]Bay Trail SLR'!F:F, "East Bay Regional Park District", '[1]Bay Trail SLR'!J:J, 0)</f>
        <v>7.3279822999999994E-2</v>
      </c>
      <c r="D15" s="54">
        <f>SUMIFS('[1]Bay Trail SLR'!K:K,'[1]Bay Trail SLR'!F:F, "East Bay Regional Park District", '[1]Bay Trail SLR'!J:J, 1)</f>
        <v>3.1703705999999998E-3</v>
      </c>
      <c r="E15" s="54">
        <f>SUMIFS('[1]Bay Trail SLR'!K:K,'[1]Bay Trail SLR'!F:F, "East Bay Regional Park District", '[1]Bay Trail SLR'!J:J, 2)</f>
        <v>0.10858927409999998</v>
      </c>
      <c r="F15" s="54">
        <f>SUMIFS('[1]Bay Trail SLR'!K:K,'[1]Bay Trail SLR'!F:F, "East Bay Regional Park District", '[1]Bay Trail SLR'!J:J, 3)</f>
        <v>0.28581506448999999</v>
      </c>
      <c r="G15" s="54">
        <f>SUMIFS('[1]Bay Trail SLR'!K:K,'[1]Bay Trail SLR'!F:F, "East Bay Regional Park District", '[1]Bay Trail SLR'!J:J, 4)</f>
        <v>0.46986443099999997</v>
      </c>
      <c r="H15" s="54">
        <f>SUMIFS('[1]Bay Trail SLR'!K:K,'[1]Bay Trail SLR'!F:F, "East Bay Regional Park District", '[1]Bay Trail SLR'!J:J, 5)</f>
        <v>0.39842557100000009</v>
      </c>
      <c r="I15" s="54">
        <f>SUMIFS('[1]Bay Trail SLR'!K:K,'[1]Bay Trail SLR'!F:F, "East Bay Regional Park District", '[1]Bay Trail SLR'!J:J, 6)</f>
        <v>0.39343421534</v>
      </c>
      <c r="J15" s="18"/>
      <c r="K15" s="18"/>
      <c r="L15" s="18"/>
    </row>
    <row r="16" spans="1:12">
      <c r="A16" s="41" t="s">
        <v>31</v>
      </c>
      <c r="B16" s="53">
        <f>SUMIFS('[1]Bay Trail NFHL'!J:J,'[1]Bay Trail NFHL'!E:E, "Hercules Public Works Department")</f>
        <v>0</v>
      </c>
      <c r="C16" s="54">
        <f>SUMIFS('[1]Bay Trail SLR'!K:K,'[1]Bay Trail SLR'!F:F, "Hercules Public Works Department", '[1]Bay Trail SLR'!J:J, 0)</f>
        <v>0</v>
      </c>
      <c r="D16" s="54">
        <f>SUMIFS('[1]Bay Trail SLR'!K:K,'[1]Bay Trail SLR'!F:F, "Hercules Public Works Department", '[1]Bay Trail SLR'!J:J, 1)</f>
        <v>0</v>
      </c>
      <c r="E16" s="54">
        <f>SUMIFS('[1]Bay Trail SLR'!K:K,'[1]Bay Trail SLR'!F:F, "Hercules Public Works Department", '[1]Bay Trail SLR'!J:J, 2)</f>
        <v>0</v>
      </c>
      <c r="F16" s="54">
        <f>SUMIFS('[1]Bay Trail SLR'!K:K,'[1]Bay Trail SLR'!F:F, "Hercules Public Works Department", '[1]Bay Trail SLR'!J:J, 3)</f>
        <v>0</v>
      </c>
      <c r="G16" s="54">
        <f>SUMIFS('[1]Bay Trail SLR'!K:K,'[1]Bay Trail SLR'!F:F, "Hercules Public Works Department", '[1]Bay Trail SLR'!J:J, 4)</f>
        <v>0</v>
      </c>
      <c r="H16" s="54">
        <f>SUMIFS('[1]Bay Trail SLR'!K:K,'[1]Bay Trail SLR'!F:F, "Hercules Public Works Department", '[1]Bay Trail SLR'!J:J, 5)</f>
        <v>0</v>
      </c>
      <c r="I16" s="54">
        <f>SUMIFS('[1]Bay Trail SLR'!K:K,'[1]Bay Trail SLR'!F:F, "Hercules Public Works Department", '[1]Bay Trail SLR'!J:J, 6)</f>
        <v>0</v>
      </c>
      <c r="J16" s="18"/>
      <c r="K16" s="18"/>
      <c r="L16" s="18"/>
    </row>
    <row r="17" spans="1:12" s="8" customFormat="1">
      <c r="A17" s="41" t="s">
        <v>32</v>
      </c>
      <c r="B17" s="53">
        <f>SUMIFS('[1]Bay Trail NFHL'!J:J,'[1]Bay Trail NFHL'!E:E, "Martinez Public Works Department")</f>
        <v>2.0394608999999999</v>
      </c>
      <c r="C17" s="54">
        <f>SUMIFS('[1]Bay Trail SLR'!K:K,'[1]Bay Trail SLR'!F:F, "Martinez Public Works Department", '[1]Bay Trail SLR'!J:J, 0)</f>
        <v>0</v>
      </c>
      <c r="D17" s="54">
        <f>SUMIFS('[1]Bay Trail SLR'!K:K,'[1]Bay Trail SLR'!F:F, "Martinez Public Works Department", '[1]Bay Trail SLR'!J:J, 1)</f>
        <v>0</v>
      </c>
      <c r="E17" s="54">
        <f>SUMIFS('[1]Bay Trail SLR'!K:K,'[1]Bay Trail SLR'!F:F, "Martinez Public Works Department", '[1]Bay Trail SLR'!J:J, 2)</f>
        <v>0</v>
      </c>
      <c r="F17" s="54">
        <f>SUMIFS('[1]Bay Trail SLR'!K:K,'[1]Bay Trail SLR'!F:F, "Martinez Public Works Department", '[1]Bay Trail SLR'!J:J, 3)</f>
        <v>0</v>
      </c>
      <c r="G17" s="54">
        <f>SUMIFS('[1]Bay Trail SLR'!K:K,'[1]Bay Trail SLR'!F:F, "Martinez Public Works Department", '[1]Bay Trail SLR'!J:J, 4)</f>
        <v>0</v>
      </c>
      <c r="H17" s="54">
        <f>SUMIFS('[1]Bay Trail SLR'!K:K,'[1]Bay Trail SLR'!F:F, "Martinez Public Works Department", '[1]Bay Trail SLR'!J:J, 5)</f>
        <v>2.6534599999999998E-2</v>
      </c>
      <c r="I17" s="54">
        <f>SUMIFS('[1]Bay Trail SLR'!K:K,'[1]Bay Trail SLR'!F:F, "Martinez Public Works Department", '[1]Bay Trail SLR'!J:J, 6)</f>
        <v>6.3109485999999992E-2</v>
      </c>
      <c r="J17" s="32"/>
      <c r="K17" s="32"/>
      <c r="L17" s="32"/>
    </row>
    <row r="18" spans="1:12">
      <c r="A18" s="41" t="s">
        <v>33</v>
      </c>
      <c r="B18" s="53">
        <f>SUMIFS('[1]Bay Trail NFHL'!J:J,'[1]Bay Trail NFHL'!E:E, "Pinole Public Works Department")</f>
        <v>0.201766482</v>
      </c>
      <c r="C18" s="54">
        <f>SUMIFS('[1]Bay Trail SLR'!K:K,'[1]Bay Trail SLR'!F:F, "Pinole Public Works Department", '[1]Bay Trail SLR'!J:J, 0)</f>
        <v>7.9079010000000002E-3</v>
      </c>
      <c r="D18" s="54">
        <f>SUMIFS('[1]Bay Trail SLR'!K:K,'[1]Bay Trail SLR'!F:F, "Pinole Public Works Department", '[1]Bay Trail SLR'!J:J, 1)</f>
        <v>1.5929130000000001E-3</v>
      </c>
      <c r="E18" s="54">
        <f>SUMIFS('[1]Bay Trail SLR'!K:K,'[1]Bay Trail SLR'!F:F, "Pinole Public Works Department", '[1]Bay Trail SLR'!J:J, 2)</f>
        <v>9.4214923000000006E-3</v>
      </c>
      <c r="F18" s="54">
        <f>SUMIFS('[1]Bay Trail SLR'!K:K,'[1]Bay Trail SLR'!F:F, "Pinole Public Works Department", '[1]Bay Trail SLR'!J:J, 3)</f>
        <v>4.3450918972000006E-2</v>
      </c>
      <c r="G18" s="54">
        <f>SUMIFS('[1]Bay Trail SLR'!K:K,'[1]Bay Trail SLR'!F:F, "Pinole Public Works Department", '[1]Bay Trail SLR'!J:J, 4)</f>
        <v>0.17082067099999998</v>
      </c>
      <c r="H18" s="54">
        <f>SUMIFS('[1]Bay Trail SLR'!K:K,'[1]Bay Trail SLR'!F:F, "Pinole Public Works Department", '[1]Bay Trail SLR'!J:J, 5)</f>
        <v>9.5434690649999973E-2</v>
      </c>
      <c r="I18" s="54">
        <f>SUMIFS('[1]Bay Trail SLR'!K:K,'[1]Bay Trail SLR'!F:F, "Pinole Public Works Department", '[1]Bay Trail SLR'!J:J, 6)</f>
        <v>0.17247016349999997</v>
      </c>
    </row>
    <row r="19" spans="1:12" s="32" customFormat="1">
      <c r="A19" s="41" t="s">
        <v>34</v>
      </c>
      <c r="B19" s="53">
        <f>SUMIFS('[1]Bay Trail NFHL'!J:J,'[1]Bay Trail NFHL'!E:E, "Port of Richmond")</f>
        <v>0</v>
      </c>
      <c r="C19" s="54">
        <f>SUMIFS('[1]Bay Trail SLR'!K:K,'[1]Bay Trail SLR'!F:F, "Port of Richmond", '[1]Bay Trail SLR'!J:J, 0)</f>
        <v>0</v>
      </c>
      <c r="D19" s="54">
        <f>SUMIFS('[1]Bay Trail SLR'!K:K,'[1]Bay Trail SLR'!F:F, "Port of Richmond", '[1]Bay Trail SLR'!J:J, 1)</f>
        <v>0</v>
      </c>
      <c r="E19" s="54">
        <f>SUMIFS('[1]Bay Trail SLR'!K:K,'[1]Bay Trail SLR'!F:F, "Port of Richmond", '[1]Bay Trail SLR'!J:J, 2)</f>
        <v>1.907387E-4</v>
      </c>
      <c r="F19" s="54">
        <f>SUMIFS('[1]Bay Trail SLR'!K:K,'[1]Bay Trail SLR'!F:F, "Port of Richmond", '[1]Bay Trail SLR'!J:J, 3)</f>
        <v>2.9951349999999999E-3</v>
      </c>
      <c r="G19" s="54">
        <f>SUMIFS('[1]Bay Trail SLR'!K:K,'[1]Bay Trail SLR'!F:F, "Port of Richmond", '[1]Bay Trail SLR'!J:J, 4)</f>
        <v>1.09221452E-2</v>
      </c>
      <c r="H19" s="54">
        <f>SUMIFS('[1]Bay Trail SLR'!K:K,'[1]Bay Trail SLR'!F:F, "Port of Richmond", '[1]Bay Trail SLR'!J:J, 5)</f>
        <v>2.60900591E-2</v>
      </c>
      <c r="I19" s="54">
        <f>SUMIFS('[1]Bay Trail SLR'!K:K,'[1]Bay Trail SLR'!F:F, "Port of Richmond", '[1]Bay Trail SLR'!J:J, 6)</f>
        <v>2.77418938E-2</v>
      </c>
    </row>
    <row r="20" spans="1:12" s="32" customFormat="1">
      <c r="A20" s="41" t="s">
        <v>35</v>
      </c>
      <c r="B20" s="53">
        <f>SUMIFS('[1]Bay Trail NFHL'!J:J,'[1]Bay Trail NFHL'!E:E, "Richmond Public Works Dept")</f>
        <v>3.351423493</v>
      </c>
      <c r="C20" s="54">
        <f>SUMIFS('[1]Bay Trail SLR'!K:K,'[1]Bay Trail SLR'!F:F, "Richmond Public Works Dept", '[1]Bay Trail SLR'!J:J, 0)</f>
        <v>0.10867109</v>
      </c>
      <c r="D20" s="54">
        <f>SUMIFS('[1]Bay Trail SLR'!K:K,'[1]Bay Trail SLR'!F:F, "Richmond Public Works Dept", '[1]Bay Trail SLR'!J:J, 1)</f>
        <v>2.4349625399999998E-2</v>
      </c>
      <c r="E20" s="54">
        <f>SUMIFS('[1]Bay Trail SLR'!K:K,'[1]Bay Trail SLR'!F:F, "Richmond Public Works Dept", '[1]Bay Trail SLR'!J:J, 2)</f>
        <v>0.13783013242999997</v>
      </c>
      <c r="F20" s="54">
        <f>SUMIFS('[1]Bay Trail SLR'!K:K,'[1]Bay Trail SLR'!F:F, "Richmond Public Works Dept", '[1]Bay Trail SLR'!J:J, 3)</f>
        <v>0.63492366375999998</v>
      </c>
      <c r="G20" s="54">
        <f>SUMIFS('[1]Bay Trail SLR'!K:K,'[1]Bay Trail SLR'!F:F, "Richmond Public Works Dept", '[1]Bay Trail SLR'!J:J, 4)</f>
        <v>1.5107268265099991</v>
      </c>
      <c r="H20" s="54">
        <f>SUMIFS('[1]Bay Trail SLR'!K:K,'[1]Bay Trail SLR'!F:F, "Richmond Public Works Dept", '[1]Bay Trail SLR'!J:J, 5)</f>
        <v>2.2579899831900008</v>
      </c>
      <c r="I20" s="54">
        <f>SUMIFS('[1]Bay Trail SLR'!K:K,'[1]Bay Trail SLR'!F:F, "Richmond Public Works Dept", '[1]Bay Trail SLR'!J:J, 6)</f>
        <v>1.6039413811000001</v>
      </c>
    </row>
    <row r="21" spans="1:12" s="32" customFormat="1">
      <c r="A21" s="41" t="s">
        <v>36</v>
      </c>
      <c r="B21" s="53">
        <f>SUMIFS('[1]Bay Trail NFHL'!J:J,'[1]Bay Trail NFHL'!E:E, "San Pablo Parks &amp; Recreation")</f>
        <v>0.37904018</v>
      </c>
      <c r="C21" s="54">
        <f>SUMIFS('[1]Bay Trail SLR'!K:K,'[1]Bay Trail SLR'!F:F, "San Pablo Parks &amp; Recreation", '[1]Bay Trail SLR'!J:J, 0)</f>
        <v>0</v>
      </c>
      <c r="D21" s="54">
        <f>SUMIFS('[1]Bay Trail SLR'!K:K,'[1]Bay Trail SLR'!F:F, "San Pablo Parks &amp; Recreation", '[1]Bay Trail SLR'!J:J, 1)</f>
        <v>0</v>
      </c>
      <c r="E21" s="54">
        <f>SUMIFS('[1]Bay Trail SLR'!K:K,'[1]Bay Trail SLR'!F:F, "San Pablo Parks &amp; Recreation", '[1]Bay Trail SLR'!J:J, 2)</f>
        <v>0</v>
      </c>
      <c r="F21" s="54">
        <f>SUMIFS('[1]Bay Trail SLR'!K:K,'[1]Bay Trail SLR'!F:F, "San Pablo Parks &amp; Recreation", '[1]Bay Trail SLR'!J:J, 3)</f>
        <v>0</v>
      </c>
      <c r="G21" s="54">
        <f>SUMIFS('[1]Bay Trail SLR'!K:K,'[1]Bay Trail SLR'!F:F, "San Pablo Parks &amp; Recreation", '[1]Bay Trail SLR'!J:J, 4)</f>
        <v>0</v>
      </c>
      <c r="H21" s="54">
        <f>SUMIFS('[1]Bay Trail SLR'!K:K,'[1]Bay Trail SLR'!F:F, "San Pablo Parks &amp; Recreation", '[1]Bay Trail SLR'!J:J, 5)</f>
        <v>0</v>
      </c>
      <c r="I21" s="54">
        <f>SUMIFS('[1]Bay Trail SLR'!K:K,'[1]Bay Trail SLR'!F:F, "San Pablo Parks &amp; Recreation", '[1]Bay Trail SLR'!J:J, 6)</f>
        <v>0</v>
      </c>
    </row>
    <row r="22" spans="1:12" s="32" customFormat="1">
      <c r="A22" s="29" t="s">
        <v>19</v>
      </c>
      <c r="B22" s="55">
        <f>SUM(B13:B21)</f>
        <v>10.915017667000001</v>
      </c>
      <c r="C22" s="56">
        <f t="shared" ref="C22:I22" si="0">SUM(C13:C21)</f>
        <v>0.65239139400000001</v>
      </c>
      <c r="D22" s="56">
        <f t="shared" si="0"/>
        <v>2.9112908999999999E-2</v>
      </c>
      <c r="E22" s="56">
        <f t="shared" si="0"/>
        <v>0.27887958022999992</v>
      </c>
      <c r="F22" s="56">
        <f t="shared" si="0"/>
        <v>1.0037913002219998</v>
      </c>
      <c r="G22" s="56">
        <f t="shared" si="0"/>
        <v>2.3213257564099994</v>
      </c>
      <c r="H22" s="56">
        <f t="shared" si="0"/>
        <v>2.9788116007400007</v>
      </c>
      <c r="I22" s="56">
        <f t="shared" si="0"/>
        <v>2.6436028828499998</v>
      </c>
    </row>
    <row r="23" spans="1:12" s="32" customFormat="1">
      <c r="A23" s="5"/>
      <c r="B23" s="34"/>
      <c r="C23" s="34"/>
      <c r="D23" s="34"/>
      <c r="E23" s="34"/>
      <c r="F23" s="34"/>
      <c r="G23" s="34"/>
      <c r="H23" s="34"/>
      <c r="I23" s="34"/>
    </row>
    <row r="24" spans="1:12">
      <c r="A24" s="35" t="s">
        <v>20</v>
      </c>
      <c r="B24" s="36"/>
      <c r="C24" s="37"/>
      <c r="D24" s="37"/>
      <c r="E24" s="37"/>
      <c r="F24" s="37"/>
      <c r="G24" s="37"/>
      <c r="H24" s="37"/>
      <c r="I24" s="37"/>
      <c r="J24" s="32"/>
      <c r="K24" s="32"/>
      <c r="L24" s="32"/>
    </row>
    <row r="25" spans="1:12" s="21" customFormat="1">
      <c r="A25" s="38"/>
      <c r="B25" s="39"/>
      <c r="C25" s="20" t="s">
        <v>9</v>
      </c>
      <c r="D25" s="20" t="s">
        <v>10</v>
      </c>
      <c r="E25" s="20" t="s">
        <v>11</v>
      </c>
      <c r="F25" s="20" t="s">
        <v>12</v>
      </c>
      <c r="G25" s="20" t="s">
        <v>13</v>
      </c>
      <c r="H25" s="20" t="s">
        <v>14</v>
      </c>
      <c r="I25" s="20" t="s">
        <v>15</v>
      </c>
      <c r="J25" s="18"/>
      <c r="K25" s="18"/>
      <c r="L25" s="18"/>
    </row>
    <row r="26" spans="1:12" s="21" customFormat="1">
      <c r="A26" s="38"/>
      <c r="B26" s="39"/>
      <c r="C26" s="50" t="s">
        <v>16</v>
      </c>
      <c r="D26" s="50" t="s">
        <v>16</v>
      </c>
      <c r="E26" s="50" t="s">
        <v>16</v>
      </c>
      <c r="F26" s="50" t="s">
        <v>16</v>
      </c>
      <c r="G26" s="50" t="s">
        <v>16</v>
      </c>
      <c r="H26" s="50" t="s">
        <v>16</v>
      </c>
      <c r="I26" s="50" t="s">
        <v>16</v>
      </c>
      <c r="J26" s="18"/>
      <c r="K26" s="18"/>
      <c r="L26" s="18"/>
    </row>
    <row r="27" spans="1:12">
      <c r="A27" s="41" t="s">
        <v>28</v>
      </c>
      <c r="B27" s="36"/>
      <c r="C27" s="43">
        <f>C13</f>
        <v>0.45632686</v>
      </c>
      <c r="D27" s="43">
        <f t="shared" ref="D27:I35" si="1">D13+C27</f>
        <v>0.45632686</v>
      </c>
      <c r="E27" s="43">
        <f t="shared" si="1"/>
        <v>0.45997846599999997</v>
      </c>
      <c r="F27" s="43">
        <f t="shared" si="1"/>
        <v>0.46308564899999999</v>
      </c>
      <c r="G27" s="43">
        <f t="shared" si="1"/>
        <v>0.46513655700000001</v>
      </c>
      <c r="H27" s="57">
        <f t="shared" si="1"/>
        <v>0.46586509879999999</v>
      </c>
      <c r="I27" s="57">
        <f t="shared" si="1"/>
        <v>0.4700953088</v>
      </c>
      <c r="J27" s="32"/>
      <c r="K27" s="32"/>
      <c r="L27" s="32"/>
    </row>
    <row r="28" spans="1:12">
      <c r="A28" s="41" t="s">
        <v>29</v>
      </c>
      <c r="B28" s="36"/>
      <c r="C28" s="43">
        <f t="shared" ref="C28:C36" si="2">C14</f>
        <v>6.2057199999999996E-3</v>
      </c>
      <c r="D28" s="43">
        <f t="shared" si="1"/>
        <v>6.2057199999999996E-3</v>
      </c>
      <c r="E28" s="43">
        <f t="shared" si="1"/>
        <v>2.5402056700000002E-2</v>
      </c>
      <c r="F28" s="43">
        <f t="shared" si="1"/>
        <v>5.89013917E-2</v>
      </c>
      <c r="G28" s="43">
        <f t="shared" si="1"/>
        <v>0.21584216640000009</v>
      </c>
      <c r="H28" s="57">
        <f t="shared" si="1"/>
        <v>0.38945032140000008</v>
      </c>
      <c r="I28" s="57">
        <f t="shared" si="1"/>
        <v>0.76812585450999993</v>
      </c>
      <c r="J28" s="32"/>
      <c r="K28" s="32"/>
      <c r="L28" s="32"/>
    </row>
    <row r="29" spans="1:12">
      <c r="A29" s="41" t="s">
        <v>30</v>
      </c>
      <c r="B29" s="51"/>
      <c r="C29" s="43">
        <f t="shared" si="2"/>
        <v>7.3279822999999994E-2</v>
      </c>
      <c r="D29" s="43">
        <f t="shared" si="1"/>
        <v>7.6450193599999994E-2</v>
      </c>
      <c r="E29" s="43">
        <f t="shared" si="1"/>
        <v>0.18503946769999996</v>
      </c>
      <c r="F29" s="43">
        <f t="shared" si="1"/>
        <v>0.47085453218999995</v>
      </c>
      <c r="G29" s="43">
        <f t="shared" si="1"/>
        <v>0.94071896318999992</v>
      </c>
      <c r="H29" s="57">
        <f t="shared" si="1"/>
        <v>1.3391445341899999</v>
      </c>
      <c r="I29" s="57">
        <f t="shared" si="1"/>
        <v>1.73257874953</v>
      </c>
      <c r="J29" s="18"/>
      <c r="K29" s="18"/>
      <c r="L29" s="18"/>
    </row>
    <row r="30" spans="1:12">
      <c r="A30" s="41" t="s">
        <v>31</v>
      </c>
      <c r="B30" s="51"/>
      <c r="C30" s="43">
        <f t="shared" si="2"/>
        <v>0</v>
      </c>
      <c r="D30" s="43">
        <f t="shared" si="1"/>
        <v>0</v>
      </c>
      <c r="E30" s="43">
        <f t="shared" si="1"/>
        <v>0</v>
      </c>
      <c r="F30" s="43">
        <f t="shared" si="1"/>
        <v>0</v>
      </c>
      <c r="G30" s="43">
        <f t="shared" si="1"/>
        <v>0</v>
      </c>
      <c r="H30" s="58">
        <f t="shared" si="1"/>
        <v>0</v>
      </c>
      <c r="I30" s="58">
        <f t="shared" si="1"/>
        <v>0</v>
      </c>
      <c r="J30" s="18"/>
      <c r="K30" s="18"/>
      <c r="L30" s="18"/>
    </row>
    <row r="31" spans="1:12">
      <c r="A31" s="41" t="s">
        <v>32</v>
      </c>
      <c r="B31" s="51"/>
      <c r="C31" s="43">
        <f t="shared" si="2"/>
        <v>0</v>
      </c>
      <c r="D31" s="43">
        <f t="shared" si="1"/>
        <v>0</v>
      </c>
      <c r="E31" s="43">
        <f t="shared" si="1"/>
        <v>0</v>
      </c>
      <c r="F31" s="43">
        <f t="shared" si="1"/>
        <v>0</v>
      </c>
      <c r="G31" s="43">
        <f t="shared" si="1"/>
        <v>0</v>
      </c>
      <c r="H31" s="58">
        <f t="shared" si="1"/>
        <v>2.6534599999999998E-2</v>
      </c>
      <c r="I31" s="58">
        <f t="shared" si="1"/>
        <v>8.9644085999999984E-2</v>
      </c>
      <c r="J31" s="18"/>
      <c r="K31" s="18"/>
      <c r="L31" s="18"/>
    </row>
    <row r="32" spans="1:12">
      <c r="A32" s="41" t="s">
        <v>33</v>
      </c>
      <c r="C32" s="43">
        <f t="shared" si="2"/>
        <v>7.9079010000000002E-3</v>
      </c>
      <c r="D32" s="43">
        <f t="shared" si="1"/>
        <v>9.5008139999999998E-3</v>
      </c>
      <c r="E32" s="43">
        <f t="shared" si="1"/>
        <v>1.89223063E-2</v>
      </c>
      <c r="F32" s="43">
        <f t="shared" si="1"/>
        <v>6.237322527200001E-2</v>
      </c>
      <c r="G32" s="43">
        <f t="shared" si="1"/>
        <v>0.23319389627199999</v>
      </c>
      <c r="H32" s="58">
        <f t="shared" si="1"/>
        <v>0.32862858692199998</v>
      </c>
      <c r="I32" s="58">
        <f t="shared" si="1"/>
        <v>0.50109875042199992</v>
      </c>
    </row>
    <row r="33" spans="1:12" s="46" customFormat="1">
      <c r="A33" s="41" t="s">
        <v>34</v>
      </c>
      <c r="B33" s="39"/>
      <c r="C33" s="43">
        <f t="shared" si="2"/>
        <v>0</v>
      </c>
      <c r="D33" s="43">
        <f t="shared" si="1"/>
        <v>0</v>
      </c>
      <c r="E33" s="43">
        <f t="shared" si="1"/>
        <v>1.907387E-4</v>
      </c>
      <c r="F33" s="43">
        <f t="shared" si="1"/>
        <v>3.1858736999999999E-3</v>
      </c>
      <c r="G33" s="43">
        <f t="shared" si="1"/>
        <v>1.41080189E-2</v>
      </c>
      <c r="H33" s="58">
        <f t="shared" si="1"/>
        <v>4.0198077999999998E-2</v>
      </c>
      <c r="I33" s="58">
        <f t="shared" si="1"/>
        <v>6.7939971799999999E-2</v>
      </c>
      <c r="J33" s="18"/>
      <c r="K33" s="18"/>
      <c r="L33" s="18"/>
    </row>
    <row r="34" spans="1:12" s="46" customFormat="1">
      <c r="A34" s="41" t="s">
        <v>35</v>
      </c>
      <c r="B34" s="39"/>
      <c r="C34" s="43">
        <f t="shared" si="2"/>
        <v>0.10867109</v>
      </c>
      <c r="D34" s="43">
        <f t="shared" si="1"/>
        <v>0.13302071539999999</v>
      </c>
      <c r="E34" s="43">
        <f t="shared" si="1"/>
        <v>0.27085084782999996</v>
      </c>
      <c r="F34" s="43">
        <f t="shared" si="1"/>
        <v>0.90577451159</v>
      </c>
      <c r="G34" s="43">
        <f t="shared" si="1"/>
        <v>2.4165013380999989</v>
      </c>
      <c r="H34" s="58">
        <f t="shared" si="1"/>
        <v>4.6744913212899997</v>
      </c>
      <c r="I34" s="58">
        <f t="shared" si="1"/>
        <v>6.27843270239</v>
      </c>
      <c r="J34" s="18"/>
      <c r="K34" s="18"/>
      <c r="L34" s="18"/>
    </row>
    <row r="35" spans="1:12" s="46" customFormat="1">
      <c r="A35" s="41" t="s">
        <v>36</v>
      </c>
      <c r="B35" s="39"/>
      <c r="C35" s="43">
        <f t="shared" si="2"/>
        <v>0</v>
      </c>
      <c r="D35" s="43">
        <f t="shared" si="1"/>
        <v>0</v>
      </c>
      <c r="E35" s="43">
        <f t="shared" si="1"/>
        <v>0</v>
      </c>
      <c r="F35" s="43">
        <f t="shared" si="1"/>
        <v>0</v>
      </c>
      <c r="G35" s="43">
        <f t="shared" si="1"/>
        <v>0</v>
      </c>
      <c r="H35" s="58">
        <f t="shared" si="1"/>
        <v>0</v>
      </c>
      <c r="I35" s="58">
        <f t="shared" si="1"/>
        <v>0</v>
      </c>
      <c r="J35" s="18"/>
      <c r="K35" s="18"/>
      <c r="L35" s="18"/>
    </row>
    <row r="36" spans="1:12" s="46" customFormat="1">
      <c r="A36" s="29" t="s">
        <v>19</v>
      </c>
      <c r="B36" s="39"/>
      <c r="C36" s="43">
        <f t="shared" si="2"/>
        <v>0.65239139400000001</v>
      </c>
      <c r="D36" s="59">
        <f t="shared" ref="D36:I36" si="3">SUM(D27:D35)</f>
        <v>0.68150430300000009</v>
      </c>
      <c r="E36" s="59">
        <f t="shared" si="3"/>
        <v>0.96038388322999979</v>
      </c>
      <c r="F36" s="59">
        <f t="shared" si="3"/>
        <v>1.9641751834519998</v>
      </c>
      <c r="G36" s="59">
        <f t="shared" si="3"/>
        <v>4.2855009398619988</v>
      </c>
      <c r="H36" s="59">
        <f t="shared" si="3"/>
        <v>7.2643125406019999</v>
      </c>
      <c r="I36" s="59">
        <f t="shared" si="3"/>
        <v>9.9079154234519997</v>
      </c>
      <c r="J36" s="18"/>
      <c r="K36" s="18"/>
      <c r="L36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="125" zoomScaleNormal="125" zoomScalePageLayoutView="125" workbookViewId="0">
      <pane xSplit="1" topLeftCell="B1" activePane="topRight" state="frozen"/>
      <selection pane="topRight" activeCell="D24" sqref="D24"/>
    </sheetView>
  </sheetViews>
  <sheetFormatPr baseColWidth="10" defaultRowHeight="14" x14ac:dyDescent="0"/>
  <cols>
    <col min="1" max="1" width="62.33203125" style="15" customWidth="1"/>
    <col min="2" max="2" width="10.83203125" style="2"/>
    <col min="3" max="9" width="18" style="3" customWidth="1"/>
    <col min="10" max="16384" width="10.83203125" style="4"/>
  </cols>
  <sheetData>
    <row r="2" spans="1:12">
      <c r="A2" s="1" t="s">
        <v>21</v>
      </c>
    </row>
    <row r="3" spans="1:12" s="8" customFormat="1">
      <c r="A3" s="5" t="s">
        <v>1</v>
      </c>
      <c r="B3" s="6">
        <f>I29</f>
        <v>39.869656239031997</v>
      </c>
      <c r="C3" s="7"/>
      <c r="D3" s="7"/>
      <c r="E3" s="7"/>
      <c r="F3" s="7"/>
      <c r="G3" s="7"/>
      <c r="H3" s="7"/>
      <c r="I3" s="7"/>
    </row>
    <row r="4" spans="1:12" s="12" customFormat="1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pans="1:12">
      <c r="A5" s="13" t="s">
        <v>3</v>
      </c>
    </row>
    <row r="6" spans="1:12">
      <c r="A6" s="14" t="s">
        <v>4</v>
      </c>
    </row>
    <row r="9" spans="1:12">
      <c r="B9" s="2" t="s">
        <v>5</v>
      </c>
    </row>
    <row r="10" spans="1:12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K10" s="18"/>
      <c r="L10" s="18" t="s">
        <v>7</v>
      </c>
    </row>
    <row r="11" spans="1:12" s="21" customFormat="1">
      <c r="A11" s="14"/>
      <c r="B11" s="19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15</v>
      </c>
      <c r="J11" s="18"/>
      <c r="K11" s="18"/>
      <c r="L11" s="18"/>
    </row>
    <row r="12" spans="1:12" s="21" customFormat="1">
      <c r="A12" s="22"/>
      <c r="B12" s="23" t="s">
        <v>16</v>
      </c>
      <c r="C12" s="24" t="s">
        <v>16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  <c r="J12" s="18"/>
      <c r="K12" s="18"/>
      <c r="L12" s="18"/>
    </row>
    <row r="13" spans="1:12">
      <c r="A13" s="25" t="s">
        <v>22</v>
      </c>
      <c r="B13" s="26">
        <f>SUMIFS('[1]Rail NFHL'!J:J,'[1]Rail NFHL'!C:C, "Abandoned Railroad")</f>
        <v>0</v>
      </c>
      <c r="C13" s="47">
        <f>SUMIFS('[1]Rail SLR-updatedOwner'!F:F,'[1]Rail SLR-updatedOwner'!B:B, "Abandoned Railroad", '[1]Rail SLR-updatedOwner'!E:E, 0)</f>
        <v>0</v>
      </c>
      <c r="D13" s="47">
        <f>SUMIFS('[1]Rail SLR-updatedOwner'!F:F,'[1]Rail SLR-updatedOwner'!B:B, "Abandoned Railroad", '[1]Rail SLR-updatedOwner'!E:E, 1)</f>
        <v>0</v>
      </c>
      <c r="E13" s="47">
        <f>SUMIFS('[1]Rail SLR-updatedOwner'!F:F,'[1]Rail SLR-updatedOwner'!B:B, "Abandoned Railroad", '[1]Rail SLR-updatedOwner'!E:E, 2)</f>
        <v>0</v>
      </c>
      <c r="F13" s="47">
        <f>SUMIFS('[1]Rail SLR-updatedOwner'!F:F,'[1]Rail SLR-updatedOwner'!B:B, "Abandoned Railroad", '[1]Rail SLR-updatedOwner'!E:E, 3)</f>
        <v>0</v>
      </c>
      <c r="G13" s="47">
        <f>SUMIFS('[1]Rail SLR-updatedOwner'!F:F,'[1]Rail SLR-updatedOwner'!B:B, "Abandoned Railroad", '[1]Rail SLR-updatedOwner'!E:E, 4)</f>
        <v>0.1151591</v>
      </c>
      <c r="H13" s="47">
        <f>SUMIFS('[1]Rail SLR-updatedOwner'!F:F,'[1]Rail SLR-updatedOwner'!B:B, "Abandoned Railroad", '[1]Rail SLR-updatedOwner'!E:E, 5)</f>
        <v>5.5664651999999995E-2</v>
      </c>
      <c r="I13" s="47">
        <f>SUMIFS('[1]Rail SLR-updatedOwner'!F:F,'[1]Rail SLR-updatedOwner'!B:B, "Abandoned Railroad", '[1]Rail SLR-updatedOwner'!E:E, 6)</f>
        <v>0.10305001</v>
      </c>
      <c r="J13" s="18"/>
      <c r="K13" s="18"/>
      <c r="L13" s="18"/>
    </row>
    <row r="14" spans="1:12">
      <c r="A14" s="28" t="s">
        <v>23</v>
      </c>
      <c r="B14" s="26">
        <f>SUMIFS('[1]Rail NFHL'!J:J,'[1]Rail NFHL'!C:C, "BNSF")</f>
        <v>2.4773704579999998</v>
      </c>
      <c r="C14" s="47">
        <f>SUMIFS('[1]Rail SLR-updatedOwner'!F:F,'[1]Rail SLR-updatedOwner'!B:B, "BNSF", '[1]Rail SLR-updatedOwner'!E:E, 0)</f>
        <v>1.1445326300000001</v>
      </c>
      <c r="D14" s="47">
        <f>SUMIFS('[1]Rail SLR-updatedOwner'!F:F,'[1]Rail SLR-updatedOwner'!B:B, "BNSF", '[1]Rail SLR-updatedOwner'!E:E, 1)</f>
        <v>0.36369244380000004</v>
      </c>
      <c r="E14" s="47">
        <f>SUMIFS('[1]Rail SLR-updatedOwner'!F:F,'[1]Rail SLR-updatedOwner'!B:B, "BNSF", '[1]Rail SLR-updatedOwner'!E:E, 2)</f>
        <v>0.19060746374000007</v>
      </c>
      <c r="F14" s="47">
        <f>SUMIFS('[1]Rail SLR-updatedOwner'!F:F,'[1]Rail SLR-updatedOwner'!B:B, "BNSF", '[1]Rail SLR-updatedOwner'!E:E, 3)</f>
        <v>0.33276391690000007</v>
      </c>
      <c r="G14" s="47">
        <f>SUMIFS('[1]Rail SLR-updatedOwner'!F:F,'[1]Rail SLR-updatedOwner'!B:B, "BNSF", '[1]Rail SLR-updatedOwner'!E:E, 4)</f>
        <v>1.6019684135999999</v>
      </c>
      <c r="H14" s="47">
        <f>SUMIFS('[1]Rail SLR-updatedOwner'!F:F,'[1]Rail SLR-updatedOwner'!B:B, "BNSF", '[1]Rail SLR-updatedOwner'!E:E, 5)</f>
        <v>0.88775961520000002</v>
      </c>
      <c r="I14" s="47">
        <f>SUMIFS('[1]Rail SLR-updatedOwner'!F:F,'[1]Rail SLR-updatedOwner'!B:B, "BNSF", '[1]Rail SLR-updatedOwner'!E:E, 6)</f>
        <v>2.1303341144580004</v>
      </c>
      <c r="J14" s="18"/>
      <c r="K14" s="18"/>
      <c r="L14" s="18"/>
    </row>
    <row r="15" spans="1:12">
      <c r="A15" s="28" t="s">
        <v>24</v>
      </c>
      <c r="B15" s="26">
        <f>SUMIFS('[1]Rail NFHL'!J:J,'[1]Rail NFHL'!C:C, "BART")</f>
        <v>0.1796423</v>
      </c>
      <c r="C15" s="47">
        <f>SUMIFS('[1]Rail SLR-updatedOwner'!F:F,'[1]Rail SLR-updatedOwner'!B:B, "BART", '[1]Rail SLR-updatedOwner'!E:E, 0)</f>
        <v>0</v>
      </c>
      <c r="D15" s="47">
        <f>SUMIFS('[1]Rail SLR-updatedOwner'!F:F,'[1]Rail SLR-updatedOwner'!B:B, "BART", '[1]Rail SLR-updatedOwner'!E:E, 1)</f>
        <v>0</v>
      </c>
      <c r="E15" s="47">
        <f>SUMIFS('[1]Rail SLR-updatedOwner'!F:F,'[1]Rail SLR-updatedOwner'!B:B, "BART", '[1]Rail SLR-updatedOwner'!E:E, 2)</f>
        <v>0</v>
      </c>
      <c r="F15" s="47">
        <f>SUMIFS('[1]Rail SLR-updatedOwner'!F:F,'[1]Rail SLR-updatedOwner'!B:B, "BART", '[1]Rail SLR-updatedOwner'!E:E, 3)</f>
        <v>0</v>
      </c>
      <c r="G15" s="47">
        <f>SUMIFS('[1]Rail SLR-updatedOwner'!F:F,'[1]Rail SLR-updatedOwner'!B:B, "BART", '[1]Rail SLR-updatedOwner'!E:E, 4)</f>
        <v>0</v>
      </c>
      <c r="H15" s="47">
        <f>SUMIFS('[1]Rail SLR-updatedOwner'!F:F,'[1]Rail SLR-updatedOwner'!B:B, "BART", '[1]Rail SLR-updatedOwner'!E:E, 5)</f>
        <v>0</v>
      </c>
      <c r="I15" s="47">
        <f>SUMIFS('[1]Rail SLR-updatedOwner'!F:F,'[1]Rail SLR-updatedOwner'!B:B, "BART", '[1]Rail SLR-updatedOwner'!E:E, 6)</f>
        <v>0</v>
      </c>
      <c r="J15" s="18"/>
      <c r="K15" s="18"/>
      <c r="L15" s="18"/>
    </row>
    <row r="16" spans="1:12">
      <c r="A16" s="28" t="s">
        <v>25</v>
      </c>
      <c r="B16" s="26">
        <f>SUMIFS('[1]Rail NFHL'!J:J,'[1]Rail NFHL'!C:C, "Union Pacific")</f>
        <v>8.906253818999998</v>
      </c>
      <c r="C16" s="47">
        <f>SUMIFS('[1]Rail SLR-updatedOwner'!F:F,'[1]Rail SLR-updatedOwner'!B:B, "Union Pacific", '[1]Rail SLR-updatedOwner'!E:E, 0)</f>
        <v>1.6790368966999998</v>
      </c>
      <c r="D16" s="47">
        <f>SUMIFS('[1]Rail SLR-updatedOwner'!F:F,'[1]Rail SLR-updatedOwner'!B:B, "Union Pacific", '[1]Rail SLR-updatedOwner'!E:E, 1)</f>
        <v>1.7594989951999993</v>
      </c>
      <c r="E16" s="47">
        <f>SUMIFS('[1]Rail SLR-updatedOwner'!F:F,'[1]Rail SLR-updatedOwner'!B:B, "Union Pacific", '[1]Rail SLR-updatedOwner'!E:E, 2)</f>
        <v>2.1956569733000011</v>
      </c>
      <c r="F16" s="47">
        <f>SUMIFS('[1]Rail SLR-updatedOwner'!F:F,'[1]Rail SLR-updatedOwner'!B:B, "Union Pacific", '[1]Rail SLR-updatedOwner'!E:E, 3)</f>
        <v>1.4247133579900007</v>
      </c>
      <c r="G16" s="47">
        <f>SUMIFS('[1]Rail SLR-updatedOwner'!F:F,'[1]Rail SLR-updatedOwner'!B:B, "Union Pacific", '[1]Rail SLR-updatedOwner'!E:E, 4)</f>
        <v>4.50412800432</v>
      </c>
      <c r="H16" s="47">
        <f>SUMIFS('[1]Rail SLR-updatedOwner'!F:F,'[1]Rail SLR-updatedOwner'!B:B, "Union Pacific", '[1]Rail SLR-updatedOwner'!E:E, 5)</f>
        <v>6.7289748354599981</v>
      </c>
      <c r="I16" s="47">
        <f>SUMIFS('[1]Rail SLR-updatedOwner'!F:F,'[1]Rail SLR-updatedOwner'!B:B, "Union Pacific", '[1]Rail SLR-updatedOwner'!E:E, 6)</f>
        <v>4.196943748719999</v>
      </c>
      <c r="J16" s="18"/>
      <c r="K16" s="18"/>
      <c r="L16" s="18"/>
    </row>
    <row r="17" spans="1:12" s="8" customFormat="1">
      <c r="A17" s="28" t="s">
        <v>26</v>
      </c>
      <c r="B17" s="26">
        <f>SUMIFS('[1]Rail NFHL'!J:J,'[1]Rail NFHL'!C:C, "N/A")</f>
        <v>2.4364454069999999</v>
      </c>
      <c r="C17" s="47">
        <f>SUMIFS('[1]Rail SLR-updatedOwner'!F:F,'[1]Rail SLR-updatedOwner'!B:B, "N/A", '[1]Rail SLR-updatedOwner'!E:E, 0)</f>
        <v>1.8039182268</v>
      </c>
      <c r="D17" s="47">
        <f>SUMIFS('[1]Rail SLR-updatedOwner'!F:F,'[1]Rail SLR-updatedOwner'!B:B, "N/A", '[1]Rail SLR-updatedOwner'!E:E, 1)</f>
        <v>0.641271437</v>
      </c>
      <c r="E17" s="47">
        <f>SUMIFS('[1]Rail SLR-updatedOwner'!F:F,'[1]Rail SLR-updatedOwner'!B:B, "N/A", '[1]Rail SLR-updatedOwner'!E:E, 2)</f>
        <v>0.53531728530000011</v>
      </c>
      <c r="F17" s="47">
        <f>SUMIFS('[1]Rail SLR-updatedOwner'!F:F,'[1]Rail SLR-updatedOwner'!B:B, "N/A", '[1]Rail SLR-updatedOwner'!E:E, 3)</f>
        <v>0.83813075989500008</v>
      </c>
      <c r="G17" s="47">
        <f>SUMIFS('[1]Rail SLR-updatedOwner'!F:F,'[1]Rail SLR-updatedOwner'!B:B, "N/A", '[1]Rail SLR-updatedOwner'!E:E, 4)</f>
        <v>1.1256017788999999</v>
      </c>
      <c r="H17" s="47">
        <f>SUMIFS('[1]Rail SLR-updatedOwner'!F:F,'[1]Rail SLR-updatedOwner'!B:B, "N/A", '[1]Rail SLR-updatedOwner'!E:E, 5)</f>
        <v>3.1913747331950004</v>
      </c>
      <c r="I17" s="47">
        <f>SUMIFS('[1]Rail SLR-updatedOwner'!F:F,'[1]Rail SLR-updatedOwner'!B:B, "N/A", '[1]Rail SLR-updatedOwner'!E:E, 6)</f>
        <v>2.3195568465540002</v>
      </c>
      <c r="J17" s="32"/>
      <c r="K17" s="32"/>
      <c r="L17" s="32"/>
    </row>
    <row r="18" spans="1:12" s="32" customFormat="1">
      <c r="A18" s="29" t="s">
        <v>19</v>
      </c>
      <c r="B18" s="30">
        <f t="shared" ref="B18:I18" si="0">SUM(B13:B17)</f>
        <v>13.999711983999997</v>
      </c>
      <c r="C18" s="48">
        <f t="shared" si="0"/>
        <v>4.6274877535000005</v>
      </c>
      <c r="D18" s="48">
        <f t="shared" si="0"/>
        <v>2.7644628759999992</v>
      </c>
      <c r="E18" s="48">
        <f t="shared" si="0"/>
        <v>2.9215817223400014</v>
      </c>
      <c r="F18" s="48">
        <f t="shared" si="0"/>
        <v>2.595608034785001</v>
      </c>
      <c r="G18" s="48">
        <f t="shared" si="0"/>
        <v>7.3468572968199997</v>
      </c>
      <c r="H18" s="48">
        <f t="shared" si="0"/>
        <v>10.863773835855</v>
      </c>
      <c r="I18" s="48">
        <f t="shared" si="0"/>
        <v>8.749884719732</v>
      </c>
    </row>
    <row r="19" spans="1:12" s="32" customFormat="1">
      <c r="A19" s="33"/>
      <c r="B19" s="49"/>
      <c r="C19" s="49"/>
      <c r="D19" s="49">
        <f>D18+C18</f>
        <v>7.3919506295000001</v>
      </c>
      <c r="E19" s="49">
        <f>E18+D19</f>
        <v>10.313532351840001</v>
      </c>
      <c r="F19" s="49">
        <f>F18+E19</f>
        <v>12.909140386625001</v>
      </c>
      <c r="G19" s="49">
        <f>G18+F19</f>
        <v>20.255997683445003</v>
      </c>
      <c r="H19" s="49">
        <f>H18+G19</f>
        <v>31.119771519300002</v>
      </c>
      <c r="I19" s="49">
        <f>I18+H19</f>
        <v>39.869656239032004</v>
      </c>
    </row>
    <row r="20" spans="1:12" s="32" customFormat="1">
      <c r="A20" s="5"/>
      <c r="B20" s="34"/>
      <c r="C20" s="34"/>
      <c r="D20" s="34"/>
      <c r="E20" s="34"/>
      <c r="F20" s="34"/>
      <c r="G20" s="34"/>
      <c r="H20" s="34"/>
      <c r="I20" s="34"/>
    </row>
    <row r="21" spans="1:12">
      <c r="A21" s="35" t="s">
        <v>20</v>
      </c>
      <c r="B21" s="36"/>
      <c r="C21" s="37"/>
      <c r="D21" s="37"/>
      <c r="E21" s="37"/>
      <c r="F21" s="37"/>
      <c r="G21" s="37"/>
      <c r="H21" s="37"/>
      <c r="I21" s="37"/>
      <c r="J21" s="32"/>
      <c r="K21" s="32"/>
      <c r="L21" s="32"/>
    </row>
    <row r="22" spans="1:12" s="21" customFormat="1">
      <c r="A22" s="38"/>
      <c r="B22" s="39"/>
      <c r="C22" s="20" t="s">
        <v>9</v>
      </c>
      <c r="D22" s="20" t="s">
        <v>10</v>
      </c>
      <c r="E22" s="20" t="s">
        <v>11</v>
      </c>
      <c r="F22" s="20" t="s">
        <v>12</v>
      </c>
      <c r="G22" s="20" t="s">
        <v>13</v>
      </c>
      <c r="H22" s="20" t="s">
        <v>14</v>
      </c>
      <c r="I22" s="20" t="s">
        <v>15</v>
      </c>
      <c r="J22" s="18"/>
      <c r="K22" s="18"/>
      <c r="L22" s="18"/>
    </row>
    <row r="23" spans="1:12" s="21" customFormat="1">
      <c r="A23" s="38"/>
      <c r="B23" s="39"/>
      <c r="C23" s="50" t="s">
        <v>16</v>
      </c>
      <c r="D23" s="50" t="s">
        <v>16</v>
      </c>
      <c r="E23" s="50" t="s">
        <v>16</v>
      </c>
      <c r="F23" s="50" t="s">
        <v>16</v>
      </c>
      <c r="G23" s="50" t="s">
        <v>16</v>
      </c>
      <c r="H23" s="50" t="s">
        <v>16</v>
      </c>
      <c r="I23" s="50" t="s">
        <v>16</v>
      </c>
      <c r="J23" s="18"/>
      <c r="K23" s="18"/>
      <c r="L23" s="18"/>
    </row>
    <row r="24" spans="1:12">
      <c r="A24" s="41" t="s">
        <v>22</v>
      </c>
      <c r="B24" s="36"/>
      <c r="C24" s="42">
        <f>C13</f>
        <v>0</v>
      </c>
      <c r="D24" s="42">
        <f t="shared" ref="D24:I28" si="1">D13+C24</f>
        <v>0</v>
      </c>
      <c r="E24" s="42">
        <f t="shared" si="1"/>
        <v>0</v>
      </c>
      <c r="F24" s="42">
        <f t="shared" si="1"/>
        <v>0</v>
      </c>
      <c r="G24" s="42">
        <f t="shared" si="1"/>
        <v>0.1151591</v>
      </c>
      <c r="H24" s="44">
        <f t="shared" si="1"/>
        <v>0.170823752</v>
      </c>
      <c r="I24" s="44">
        <f t="shared" si="1"/>
        <v>0.27387376200000002</v>
      </c>
      <c r="J24" s="32"/>
      <c r="K24" s="32"/>
      <c r="L24" s="32"/>
    </row>
    <row r="25" spans="1:12">
      <c r="A25" s="41" t="s">
        <v>23</v>
      </c>
      <c r="B25" s="36"/>
      <c r="C25" s="42">
        <f t="shared" ref="C25:C29" si="2">C14</f>
        <v>1.1445326300000001</v>
      </c>
      <c r="D25" s="42">
        <f t="shared" si="1"/>
        <v>1.5082250738</v>
      </c>
      <c r="E25" s="42">
        <f t="shared" si="1"/>
        <v>1.6988325375400002</v>
      </c>
      <c r="F25" s="42">
        <f t="shared" si="1"/>
        <v>2.0315964544400003</v>
      </c>
      <c r="G25" s="42">
        <f t="shared" si="1"/>
        <v>3.6335648680400001</v>
      </c>
      <c r="H25" s="44">
        <f t="shared" si="1"/>
        <v>4.5213244832399999</v>
      </c>
      <c r="I25" s="44">
        <f t="shared" si="1"/>
        <v>6.6516585976980007</v>
      </c>
      <c r="J25" s="32"/>
      <c r="K25" s="32"/>
      <c r="L25" s="32"/>
    </row>
    <row r="26" spans="1:12">
      <c r="A26" s="41" t="s">
        <v>24</v>
      </c>
      <c r="B26" s="51"/>
      <c r="C26" s="42">
        <f t="shared" si="2"/>
        <v>0</v>
      </c>
      <c r="D26" s="42">
        <f t="shared" si="1"/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4">
        <f t="shared" si="1"/>
        <v>0</v>
      </c>
      <c r="I26" s="44">
        <f t="shared" si="1"/>
        <v>0</v>
      </c>
      <c r="J26" s="18"/>
      <c r="K26" s="18"/>
      <c r="L26" s="18"/>
    </row>
    <row r="27" spans="1:12">
      <c r="A27" s="41" t="s">
        <v>25</v>
      </c>
      <c r="B27" s="51"/>
      <c r="C27" s="42">
        <f t="shared" si="2"/>
        <v>1.6790368966999998</v>
      </c>
      <c r="D27" s="42">
        <f t="shared" si="1"/>
        <v>3.4385358918999991</v>
      </c>
      <c r="E27" s="42">
        <f t="shared" si="1"/>
        <v>5.6341928652000002</v>
      </c>
      <c r="F27" s="42">
        <f t="shared" si="1"/>
        <v>7.0589062231900011</v>
      </c>
      <c r="G27" s="42">
        <f t="shared" si="1"/>
        <v>11.563034227510002</v>
      </c>
      <c r="H27" s="52">
        <f t="shared" si="1"/>
        <v>18.292009062969999</v>
      </c>
      <c r="I27" s="52">
        <f t="shared" si="1"/>
        <v>22.488952811689998</v>
      </c>
      <c r="J27" s="18"/>
      <c r="K27" s="18"/>
      <c r="L27" s="18"/>
    </row>
    <row r="28" spans="1:12">
      <c r="A28" s="41" t="s">
        <v>26</v>
      </c>
      <c r="B28" s="51"/>
      <c r="C28" s="42">
        <f t="shared" si="2"/>
        <v>1.8039182268</v>
      </c>
      <c r="D28" s="42">
        <f t="shared" si="1"/>
        <v>2.4451896637999999</v>
      </c>
      <c r="E28" s="42">
        <f t="shared" si="1"/>
        <v>2.9805069491</v>
      </c>
      <c r="F28" s="42">
        <f t="shared" si="1"/>
        <v>3.8186377089950003</v>
      </c>
      <c r="G28" s="42">
        <f t="shared" si="1"/>
        <v>4.9442394878950005</v>
      </c>
      <c r="H28" s="52">
        <f t="shared" si="1"/>
        <v>8.1356142210900018</v>
      </c>
      <c r="I28" s="52">
        <f t="shared" si="1"/>
        <v>10.455171067644002</v>
      </c>
      <c r="J28" s="18"/>
      <c r="K28" s="18"/>
      <c r="L28" s="18"/>
    </row>
    <row r="29" spans="1:12" s="46" customFormat="1">
      <c r="A29" s="29" t="s">
        <v>19</v>
      </c>
      <c r="B29" s="39"/>
      <c r="C29" s="42">
        <f t="shared" si="2"/>
        <v>4.6274877535000005</v>
      </c>
      <c r="D29" s="45">
        <f t="shared" ref="D29:I29" si="3">SUM(D24:D28)</f>
        <v>7.3919506294999993</v>
      </c>
      <c r="E29" s="45">
        <f t="shared" si="3"/>
        <v>10.313532351840001</v>
      </c>
      <c r="F29" s="45">
        <f t="shared" si="3"/>
        <v>12.909140386625001</v>
      </c>
      <c r="G29" s="45">
        <f t="shared" si="3"/>
        <v>20.255997683445003</v>
      </c>
      <c r="H29" s="45">
        <f t="shared" si="3"/>
        <v>31.119771519300002</v>
      </c>
      <c r="I29" s="45">
        <f t="shared" si="3"/>
        <v>39.869656239031997</v>
      </c>
      <c r="J29" s="18"/>
      <c r="K29" s="18"/>
      <c r="L29" s="18"/>
    </row>
    <row r="30" spans="1:12" s="46" customFormat="1">
      <c r="A30" s="33"/>
      <c r="B30" s="39"/>
      <c r="C30" s="34"/>
      <c r="D30" s="17"/>
      <c r="E30" s="17"/>
      <c r="F30" s="17"/>
      <c r="G30" s="17"/>
      <c r="H30" s="17"/>
      <c r="I30" s="17"/>
      <c r="J30" s="18"/>
      <c r="K30" s="18"/>
      <c r="L30" s="18"/>
    </row>
    <row r="31" spans="1:12" s="46" customFormat="1">
      <c r="A31" s="33"/>
      <c r="B31" s="39"/>
      <c r="C31" s="34"/>
      <c r="D31" s="17"/>
      <c r="E31" s="17"/>
      <c r="F31" s="17"/>
      <c r="G31" s="17"/>
      <c r="H31" s="17"/>
      <c r="I31" s="17"/>
      <c r="J31" s="18"/>
      <c r="K31" s="18"/>
      <c r="L31" s="18"/>
    </row>
    <row r="32" spans="1:12" s="46" customFormat="1">
      <c r="A32" s="33"/>
      <c r="B32" s="39"/>
      <c r="C32" s="34"/>
      <c r="D32" s="17"/>
      <c r="E32" s="17"/>
      <c r="F32" s="17"/>
      <c r="G32" s="17"/>
      <c r="H32" s="17"/>
      <c r="I32" s="17"/>
      <c r="J32" s="18"/>
      <c r="K32" s="18"/>
      <c r="L32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zoomScale="125" zoomScaleNormal="125" zoomScalePageLayoutView="125" workbookViewId="0">
      <pane xSplit="1" topLeftCell="B1" activePane="topRight" state="frozen"/>
      <selection pane="topRight" activeCell="D21" sqref="D21"/>
    </sheetView>
  </sheetViews>
  <sheetFormatPr baseColWidth="10" defaultRowHeight="14" x14ac:dyDescent="0"/>
  <cols>
    <col min="1" max="1" width="62.33203125" style="15" customWidth="1"/>
    <col min="2" max="2" width="10.83203125" style="2"/>
    <col min="3" max="9" width="18" style="3" customWidth="1"/>
    <col min="10" max="16384" width="10.83203125" style="4"/>
  </cols>
  <sheetData>
    <row r="2" spans="1:12">
      <c r="A2" s="1" t="s">
        <v>0</v>
      </c>
    </row>
    <row r="3" spans="1:12" s="8" customFormat="1">
      <c r="A3" s="5" t="s">
        <v>1</v>
      </c>
      <c r="B3" s="6">
        <f>I23</f>
        <v>58.865883040024002</v>
      </c>
      <c r="C3" s="7"/>
      <c r="D3" s="7"/>
      <c r="E3" s="7"/>
      <c r="F3" s="7"/>
      <c r="G3" s="7"/>
      <c r="H3" s="7"/>
      <c r="I3" s="7"/>
    </row>
    <row r="4" spans="1:12" s="12" customFormat="1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pans="1:12">
      <c r="A5" s="13" t="s">
        <v>3</v>
      </c>
    </row>
    <row r="6" spans="1:12">
      <c r="A6" s="14" t="s">
        <v>4</v>
      </c>
    </row>
    <row r="9" spans="1:12">
      <c r="B9" s="2" t="s">
        <v>5</v>
      </c>
    </row>
    <row r="10" spans="1:12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K10" s="18"/>
      <c r="L10" s="18" t="s">
        <v>7</v>
      </c>
    </row>
    <row r="11" spans="1:12" s="21" customFormat="1">
      <c r="A11" s="14"/>
      <c r="B11" s="19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15</v>
      </c>
      <c r="J11" s="18"/>
      <c r="K11" s="18"/>
      <c r="L11" s="18"/>
    </row>
    <row r="12" spans="1:12" s="21" customFormat="1">
      <c r="A12" s="22"/>
      <c r="B12" s="23" t="s">
        <v>16</v>
      </c>
      <c r="C12" s="24" t="s">
        <v>16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  <c r="J12" s="18"/>
      <c r="K12" s="18"/>
      <c r="L12" s="18"/>
    </row>
    <row r="13" spans="1:12">
      <c r="A13" s="25" t="s">
        <v>17</v>
      </c>
      <c r="B13" s="26">
        <f>SUMIFS('[1]Pipelines NFHL'!E:E,'[1]Pipelines NFHL'!F:F, "Gas")</f>
        <v>11.98267621854</v>
      </c>
      <c r="C13" s="27">
        <f>SUMIFS('[1]Pipelines SLR'!E:E,'[1]Pipelines SLR'!F:F, "Gas", '[1]Pipelines SLR'!D:D, 0)</f>
        <v>0.72719853649999999</v>
      </c>
      <c r="D13" s="27">
        <f>SUMIFS('[1]Pipelines SLR'!E:E,'[1]Pipelines SLR'!F:F, "Gas", '[1]Pipelines SLR'!D:D, 1)</f>
        <v>1.5123883476000002</v>
      </c>
      <c r="E13" s="27">
        <f>SUMIFS('[1]Pipelines SLR'!E:E,'[1]Pipelines SLR'!F:F, "Gas", '[1]Pipelines SLR'!D:D, 2)</f>
        <v>1.2099318851880001</v>
      </c>
      <c r="F13" s="27">
        <f>SUMIFS('[1]Pipelines SLR'!E:E,'[1]Pipelines SLR'!F:F, "Gas", '[1]Pipelines SLR'!D:D, 3)</f>
        <v>1.1756451279</v>
      </c>
      <c r="G13" s="27">
        <f>SUMIFS('[1]Pipelines SLR'!E:E,'[1]Pipelines SLR'!F:F, "Gas", '[1]Pipelines SLR'!D:D, 4)</f>
        <v>1.0468288113999999</v>
      </c>
      <c r="H13" s="27">
        <f>SUMIFS('[1]Pipelines SLR'!E:E,'[1]Pipelines SLR'!F:F, "Gas", '[1]Pipelines SLR'!D:D, 5)</f>
        <v>1.6755554489799998</v>
      </c>
      <c r="I13" s="27">
        <f>SUMIFS('[1]Pipelines SLR'!E:E,'[1]Pipelines SLR'!F:F, "Gas", '[1]Pipelines SLR'!D:D, 6)</f>
        <v>0.78560222099999988</v>
      </c>
      <c r="J13" s="18"/>
      <c r="K13" s="18"/>
      <c r="L13" s="18"/>
    </row>
    <row r="14" spans="1:12">
      <c r="A14" s="28" t="s">
        <v>18</v>
      </c>
      <c r="B14" s="26">
        <f>SUMIFS('[1]Pipelines NFHL'!E:E,'[1]Pipelines NFHL'!F:F, "Liquid")</f>
        <v>42.744291934800025</v>
      </c>
      <c r="C14" s="27">
        <f>SUMIFS('[1]Pipelines SLR'!E:E,'[1]Pipelines SLR'!F:F, "Liquid", '[1]Pipelines SLR'!D:D, 0)</f>
        <v>10.869425356074</v>
      </c>
      <c r="D14" s="27">
        <f>SUMIFS('[1]Pipelines SLR'!E:E,'[1]Pipelines SLR'!F:F, "Liquid", '[1]Pipelines SLR'!D:D, 1)</f>
        <v>9.6366555195740045</v>
      </c>
      <c r="E14" s="27">
        <f>SUMIFS('[1]Pipelines SLR'!E:E,'[1]Pipelines SLR'!F:F, "Liquid", '[1]Pipelines SLR'!D:D, 2)</f>
        <v>3.7776078753900015</v>
      </c>
      <c r="F14" s="27">
        <f>SUMIFS('[1]Pipelines SLR'!E:E,'[1]Pipelines SLR'!F:F, "Liquid", '[1]Pipelines SLR'!D:D, 3)</f>
        <v>3.6456794398139998</v>
      </c>
      <c r="G14" s="27">
        <f>SUMIFS('[1]Pipelines SLR'!E:E,'[1]Pipelines SLR'!F:F, "Liquid", '[1]Pipelines SLR'!D:D, 4)</f>
        <v>5.9411032163300028</v>
      </c>
      <c r="H14" s="27">
        <f>SUMIFS('[1]Pipelines SLR'!E:E,'[1]Pipelines SLR'!F:F, "Liquid", '[1]Pipelines SLR'!D:D, 5)</f>
        <v>10.163709293013996</v>
      </c>
      <c r="I14" s="27">
        <f>SUMIFS('[1]Pipelines SLR'!E:E,'[1]Pipelines SLR'!F:F, "Liquid", '[1]Pipelines SLR'!D:D, 6)</f>
        <v>6.6985519612600006</v>
      </c>
      <c r="J14" s="18"/>
      <c r="K14" s="18"/>
      <c r="L14" s="18"/>
    </row>
    <row r="15" spans="1:12" s="32" customFormat="1">
      <c r="A15" s="29" t="s">
        <v>19</v>
      </c>
      <c r="B15" s="30">
        <f t="shared" ref="B15:I15" si="0">SUM(B13:B14)</f>
        <v>54.726968153340025</v>
      </c>
      <c r="C15" s="31">
        <f t="shared" si="0"/>
        <v>11.596623892574</v>
      </c>
      <c r="D15" s="31">
        <f t="shared" si="0"/>
        <v>11.149043867174004</v>
      </c>
      <c r="E15" s="31">
        <f t="shared" si="0"/>
        <v>4.9875397605780014</v>
      </c>
      <c r="F15" s="31">
        <f t="shared" si="0"/>
        <v>4.821324567714</v>
      </c>
      <c r="G15" s="31">
        <f t="shared" si="0"/>
        <v>6.987932027730003</v>
      </c>
      <c r="H15" s="31">
        <f t="shared" si="0"/>
        <v>11.839264741993995</v>
      </c>
      <c r="I15" s="31">
        <f t="shared" si="0"/>
        <v>7.4841541822600002</v>
      </c>
    </row>
    <row r="16" spans="1:12" s="32" customFormat="1">
      <c r="A16" s="33"/>
      <c r="B16" s="34"/>
      <c r="C16" s="34"/>
      <c r="D16" s="34">
        <f>D15+C15</f>
        <v>22.745667759748002</v>
      </c>
      <c r="E16" s="34">
        <f>E15+D16</f>
        <v>27.733207520326005</v>
      </c>
      <c r="F16" s="34">
        <f>F15+E16</f>
        <v>32.554532088040006</v>
      </c>
      <c r="G16" s="34">
        <f>G15+F16</f>
        <v>39.542464115770009</v>
      </c>
      <c r="H16" s="34">
        <f>H15+G16</f>
        <v>51.381728857764003</v>
      </c>
      <c r="I16" s="34">
        <f>I15+H16</f>
        <v>58.865883040024002</v>
      </c>
    </row>
    <row r="17" spans="1:12" s="32" customFormat="1">
      <c r="A17" s="5"/>
      <c r="B17" s="34"/>
      <c r="C17" s="34"/>
      <c r="D17" s="34"/>
      <c r="E17" s="34"/>
      <c r="F17" s="34"/>
      <c r="G17" s="34"/>
      <c r="H17" s="34"/>
      <c r="I17" s="34"/>
    </row>
    <row r="18" spans="1:12">
      <c r="A18" s="35" t="s">
        <v>20</v>
      </c>
      <c r="B18" s="36"/>
      <c r="C18" s="37"/>
      <c r="D18" s="37"/>
      <c r="E18" s="37"/>
      <c r="F18" s="37"/>
      <c r="G18" s="37"/>
      <c r="H18" s="37"/>
      <c r="I18" s="37"/>
      <c r="J18" s="32"/>
      <c r="K18" s="32"/>
      <c r="L18" s="32"/>
    </row>
    <row r="19" spans="1:12" s="21" customFormat="1">
      <c r="A19" s="38"/>
      <c r="B19" s="39"/>
      <c r="C19" s="20" t="s">
        <v>9</v>
      </c>
      <c r="D19" s="20" t="s">
        <v>10</v>
      </c>
      <c r="E19" s="20" t="s">
        <v>11</v>
      </c>
      <c r="F19" s="20" t="s">
        <v>12</v>
      </c>
      <c r="G19" s="20" t="s">
        <v>13</v>
      </c>
      <c r="H19" s="20" t="s">
        <v>14</v>
      </c>
      <c r="I19" s="20" t="s">
        <v>15</v>
      </c>
      <c r="J19" s="18"/>
      <c r="K19" s="18"/>
      <c r="L19" s="18"/>
    </row>
    <row r="20" spans="1:12" s="21" customFormat="1">
      <c r="A20" s="38"/>
      <c r="B20" s="39"/>
      <c r="C20" s="40" t="s">
        <v>16</v>
      </c>
      <c r="D20" s="40" t="s">
        <v>16</v>
      </c>
      <c r="E20" s="40" t="s">
        <v>16</v>
      </c>
      <c r="F20" s="40" t="s">
        <v>16</v>
      </c>
      <c r="G20" s="40" t="s">
        <v>16</v>
      </c>
      <c r="H20" s="40" t="s">
        <v>16</v>
      </c>
      <c r="I20" s="40" t="s">
        <v>16</v>
      </c>
      <c r="J20" s="18"/>
      <c r="K20" s="18"/>
      <c r="L20" s="18"/>
    </row>
    <row r="21" spans="1:12">
      <c r="A21" s="41" t="s">
        <v>17</v>
      </c>
      <c r="B21" s="36"/>
      <c r="C21" s="42">
        <f>C13</f>
        <v>0.72719853649999999</v>
      </c>
      <c r="D21" s="43">
        <f t="shared" ref="D21:I22" si="1">D13+C21</f>
        <v>2.2395868841000004</v>
      </c>
      <c r="E21" s="42">
        <f t="shared" si="1"/>
        <v>3.4495187692880007</v>
      </c>
      <c r="F21" s="42">
        <f t="shared" si="1"/>
        <v>4.6251638971880009</v>
      </c>
      <c r="G21" s="42">
        <f t="shared" si="1"/>
        <v>5.6719927085880011</v>
      </c>
      <c r="H21" s="44">
        <f t="shared" si="1"/>
        <v>7.3475481575680011</v>
      </c>
      <c r="I21" s="44">
        <f t="shared" si="1"/>
        <v>8.1331503785680006</v>
      </c>
      <c r="J21" s="32"/>
      <c r="K21" s="32"/>
      <c r="L21" s="32"/>
    </row>
    <row r="22" spans="1:12">
      <c r="A22" s="41" t="s">
        <v>18</v>
      </c>
      <c r="B22" s="36"/>
      <c r="C22" s="42">
        <f t="shared" ref="C22:C23" si="2">C14</f>
        <v>10.869425356074</v>
      </c>
      <c r="D22" s="42">
        <f t="shared" si="1"/>
        <v>20.506080875648003</v>
      </c>
      <c r="E22" s="42">
        <f t="shared" si="1"/>
        <v>24.283688751038003</v>
      </c>
      <c r="F22" s="42">
        <f t="shared" si="1"/>
        <v>27.929368190852003</v>
      </c>
      <c r="G22" s="42">
        <f t="shared" si="1"/>
        <v>33.870471407182009</v>
      </c>
      <c r="H22" s="44">
        <f t="shared" si="1"/>
        <v>44.034180700196003</v>
      </c>
      <c r="I22" s="44">
        <f t="shared" si="1"/>
        <v>50.732732661456005</v>
      </c>
      <c r="J22" s="32"/>
      <c r="K22" s="32"/>
      <c r="L22" s="32"/>
    </row>
    <row r="23" spans="1:12" s="46" customFormat="1">
      <c r="A23" s="29" t="s">
        <v>19</v>
      </c>
      <c r="B23" s="39"/>
      <c r="C23" s="42">
        <f t="shared" si="2"/>
        <v>11.596623892574</v>
      </c>
      <c r="D23" s="45">
        <f t="shared" ref="D23:I23" si="3">SUM(D21:D22)</f>
        <v>22.745667759748002</v>
      </c>
      <c r="E23" s="45">
        <f t="shared" si="3"/>
        <v>27.733207520326005</v>
      </c>
      <c r="F23" s="45">
        <f t="shared" si="3"/>
        <v>32.554532088040006</v>
      </c>
      <c r="G23" s="45">
        <f t="shared" si="3"/>
        <v>39.542464115770009</v>
      </c>
      <c r="H23" s="45">
        <f t="shared" si="3"/>
        <v>51.381728857764003</v>
      </c>
      <c r="I23" s="45">
        <f t="shared" si="3"/>
        <v>58.865883040024002</v>
      </c>
      <c r="J23" s="18"/>
      <c r="K23" s="18"/>
      <c r="L23" s="18"/>
    </row>
    <row r="24" spans="1:12" s="46" customFormat="1">
      <c r="A24" s="33"/>
      <c r="B24" s="39"/>
      <c r="C24" s="34"/>
      <c r="D24" s="17"/>
      <c r="E24" s="17"/>
      <c r="F24" s="17"/>
      <c r="G24" s="17"/>
      <c r="H24" s="17"/>
      <c r="I24" s="17"/>
      <c r="J24" s="18"/>
      <c r="K24" s="18"/>
      <c r="L24" s="18"/>
    </row>
    <row r="25" spans="1:12" s="46" customFormat="1">
      <c r="A25" s="33"/>
      <c r="B25" s="39"/>
      <c r="C25" s="34"/>
      <c r="D25" s="17"/>
      <c r="E25" s="17"/>
      <c r="F25" s="17"/>
      <c r="G25" s="17"/>
      <c r="H25" s="17"/>
      <c r="I25" s="17"/>
      <c r="J25" s="18"/>
      <c r="K25" s="18"/>
      <c r="L25" s="18"/>
    </row>
    <row r="26" spans="1:12" s="46" customFormat="1">
      <c r="A26" s="33"/>
      <c r="B26" s="39"/>
      <c r="C26" s="34"/>
      <c r="D26" s="17"/>
      <c r="E26" s="17"/>
      <c r="F26" s="17"/>
      <c r="G26" s="17"/>
      <c r="H26" s="17"/>
      <c r="I26" s="17"/>
      <c r="J26" s="18"/>
      <c r="K26" s="18"/>
      <c r="L26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6"/>
  <sheetViews>
    <sheetView topLeftCell="A10" zoomScale="125" zoomScaleNormal="125" zoomScalePageLayoutView="125" workbookViewId="0">
      <pane xSplit="1" topLeftCell="C1" activePane="topRight" state="frozen"/>
      <selection pane="topRight" activeCell="A39" sqref="A39"/>
    </sheetView>
  </sheetViews>
  <sheetFormatPr baseColWidth="10" defaultRowHeight="14" x14ac:dyDescent="0"/>
  <cols>
    <col min="1" max="1" width="62.33203125" style="15" customWidth="1"/>
    <col min="2" max="2" width="10.83203125" style="4"/>
    <col min="3" max="3" width="10.83203125" style="60"/>
    <col min="4" max="4" width="10.83203125" style="139"/>
    <col min="5" max="5" width="10.83203125" style="4"/>
    <col min="6" max="6" width="10.83203125" style="60"/>
    <col min="7" max="7" width="10.83203125" style="139"/>
    <col min="8" max="9" width="10.83203125" style="60"/>
    <col min="10" max="10" width="10.83203125" style="2"/>
    <col min="11" max="11" width="10.83203125" style="4"/>
    <col min="12" max="12" width="10.83203125" style="60"/>
    <col min="13" max="13" width="11" style="2" bestFit="1" customWidth="1"/>
    <col min="14" max="14" width="10.83203125" style="4"/>
    <col min="15" max="15" width="10.83203125" style="60"/>
    <col min="16" max="16" width="10.83203125" style="2"/>
    <col min="17" max="17" width="10.83203125" style="4"/>
    <col min="18" max="18" width="10.83203125" style="60"/>
    <col min="19" max="19" width="10.83203125" style="2"/>
    <col min="20" max="20" width="10.83203125" style="4"/>
    <col min="21" max="21" width="10.83203125" style="60"/>
    <col min="22" max="22" width="13" style="140" bestFit="1" customWidth="1"/>
    <col min="23" max="23" width="10.83203125" style="4"/>
    <col min="24" max="24" width="10.83203125" style="60"/>
    <col min="25" max="25" width="10.83203125" style="2"/>
    <col min="26" max="16384" width="10.83203125" style="4"/>
  </cols>
  <sheetData>
    <row r="2" spans="1:29">
      <c r="A2" s="1" t="s">
        <v>240</v>
      </c>
    </row>
    <row r="3" spans="1:29" s="8" customFormat="1">
      <c r="A3" s="5" t="s">
        <v>241</v>
      </c>
      <c r="B3" s="61">
        <f>W29+W50+W71</f>
        <v>197</v>
      </c>
      <c r="C3" s="278"/>
      <c r="D3" s="141"/>
      <c r="F3" s="63"/>
      <c r="G3" s="141"/>
      <c r="H3" s="63"/>
      <c r="I3" s="63"/>
      <c r="J3" s="62"/>
      <c r="L3" s="63"/>
      <c r="M3" s="62"/>
      <c r="O3" s="63"/>
      <c r="P3" s="62"/>
      <c r="R3" s="63"/>
      <c r="S3" s="62"/>
      <c r="U3" s="63"/>
      <c r="V3" s="142"/>
      <c r="X3" s="63"/>
      <c r="Y3" s="62"/>
    </row>
    <row r="4" spans="1:29" s="8" customFormat="1">
      <c r="A4" s="5" t="s">
        <v>242</v>
      </c>
      <c r="B4" s="61">
        <f>X29+X50+X71</f>
        <v>949</v>
      </c>
      <c r="C4" s="278"/>
      <c r="D4" s="141"/>
      <c r="F4" s="63"/>
      <c r="G4" s="141"/>
      <c r="H4" s="63"/>
      <c r="I4" s="63"/>
      <c r="J4" s="62"/>
      <c r="L4" s="63"/>
      <c r="M4" s="62"/>
      <c r="O4" s="63"/>
      <c r="P4" s="62"/>
      <c r="R4" s="63"/>
      <c r="S4" s="62"/>
      <c r="U4" s="63"/>
      <c r="V4" s="142"/>
      <c r="X4" s="63"/>
      <c r="Y4" s="62"/>
    </row>
    <row r="5" spans="1:29" s="8" customFormat="1">
      <c r="A5" s="5" t="s">
        <v>243</v>
      </c>
      <c r="B5" s="6">
        <f>Y29+Y50+Y71</f>
        <v>87.742221273539286</v>
      </c>
      <c r="C5" s="278"/>
      <c r="D5" s="141"/>
      <c r="F5" s="63"/>
      <c r="G5" s="141"/>
      <c r="H5" s="63"/>
      <c r="I5" s="63"/>
      <c r="J5" s="62"/>
      <c r="L5" s="63"/>
      <c r="M5" s="62"/>
      <c r="O5" s="63"/>
      <c r="P5" s="62"/>
      <c r="R5" s="63"/>
      <c r="S5" s="62"/>
      <c r="U5" s="63"/>
      <c r="V5" s="142"/>
      <c r="X5" s="63"/>
      <c r="Y5" s="62"/>
    </row>
    <row r="6" spans="1:29" s="12" customFormat="1">
      <c r="A6" s="9" t="s">
        <v>2</v>
      </c>
      <c r="C6" s="64"/>
      <c r="D6" s="143"/>
      <c r="F6" s="64"/>
      <c r="G6" s="143"/>
      <c r="H6" s="64"/>
      <c r="I6" s="64"/>
      <c r="J6" s="10"/>
      <c r="L6" s="64"/>
      <c r="M6" s="10"/>
      <c r="O6" s="64"/>
      <c r="P6" s="10"/>
      <c r="R6" s="64"/>
      <c r="S6" s="10"/>
      <c r="U6" s="64"/>
      <c r="V6" s="144"/>
      <c r="X6" s="64"/>
      <c r="Y6" s="10"/>
    </row>
    <row r="7" spans="1:29">
      <c r="A7" s="13" t="s">
        <v>73</v>
      </c>
    </row>
    <row r="8" spans="1:29">
      <c r="A8" s="14" t="s">
        <v>4</v>
      </c>
    </row>
    <row r="12" spans="1:29">
      <c r="A12" s="16" t="s">
        <v>6</v>
      </c>
      <c r="B12" s="65"/>
      <c r="C12" s="66"/>
      <c r="D12" s="145"/>
      <c r="E12" s="65"/>
      <c r="F12" s="66"/>
      <c r="G12" s="145"/>
      <c r="H12" s="66"/>
      <c r="I12" s="66"/>
      <c r="J12" s="17"/>
      <c r="K12" s="65"/>
      <c r="L12" s="66"/>
      <c r="M12" s="39"/>
      <c r="N12" s="18"/>
      <c r="O12" s="66"/>
      <c r="P12" s="39"/>
      <c r="Q12" s="18"/>
      <c r="R12" s="66"/>
      <c r="S12" s="39"/>
      <c r="T12" s="18"/>
      <c r="U12" s="66"/>
      <c r="V12" s="146"/>
      <c r="W12" s="65"/>
      <c r="X12" s="66"/>
      <c r="Y12" s="17"/>
      <c r="Z12" s="18"/>
      <c r="AA12" s="18"/>
      <c r="AB12" s="18"/>
      <c r="AC12" s="18"/>
    </row>
    <row r="13" spans="1:29" s="21" customFormat="1">
      <c r="A13" s="14"/>
      <c r="B13" s="67" t="s">
        <v>42</v>
      </c>
      <c r="C13" s="279"/>
      <c r="D13" s="147"/>
      <c r="E13" s="68" t="s">
        <v>43</v>
      </c>
      <c r="F13" s="69"/>
      <c r="G13" s="148"/>
      <c r="H13" s="69" t="s">
        <v>44</v>
      </c>
      <c r="I13" s="69"/>
      <c r="J13" s="20"/>
      <c r="K13" s="68" t="s">
        <v>45</v>
      </c>
      <c r="L13" s="76"/>
      <c r="M13" s="20"/>
      <c r="N13" s="68" t="s">
        <v>46</v>
      </c>
      <c r="O13" s="76"/>
      <c r="P13" s="20"/>
      <c r="Q13" s="68" t="s">
        <v>47</v>
      </c>
      <c r="R13" s="76"/>
      <c r="S13" s="20"/>
      <c r="T13" s="68" t="s">
        <v>48</v>
      </c>
      <c r="U13" s="76"/>
      <c r="V13" s="149"/>
      <c r="W13" s="68" t="s">
        <v>49</v>
      </c>
      <c r="X13" s="76"/>
      <c r="Y13" s="20"/>
      <c r="Z13" s="18"/>
      <c r="AA13" s="18"/>
      <c r="AB13" s="18"/>
      <c r="AC13" s="18"/>
    </row>
    <row r="14" spans="1:29" s="21" customFormat="1">
      <c r="A14" s="22"/>
      <c r="B14" s="70" t="s">
        <v>50</v>
      </c>
      <c r="C14" s="280" t="s">
        <v>244</v>
      </c>
      <c r="D14" s="147" t="s">
        <v>51</v>
      </c>
      <c r="E14" s="71" t="s">
        <v>50</v>
      </c>
      <c r="F14" s="72" t="s">
        <v>244</v>
      </c>
      <c r="G14" s="150" t="s">
        <v>51</v>
      </c>
      <c r="H14" s="72" t="s">
        <v>50</v>
      </c>
      <c r="I14" s="72" t="s">
        <v>244</v>
      </c>
      <c r="J14" s="24" t="s">
        <v>51</v>
      </c>
      <c r="K14" s="71" t="s">
        <v>50</v>
      </c>
      <c r="L14" s="72" t="s">
        <v>244</v>
      </c>
      <c r="M14" s="24" t="s">
        <v>51</v>
      </c>
      <c r="N14" s="71" t="s">
        <v>50</v>
      </c>
      <c r="O14" s="72" t="s">
        <v>244</v>
      </c>
      <c r="P14" s="24" t="s">
        <v>51</v>
      </c>
      <c r="Q14" s="71" t="s">
        <v>50</v>
      </c>
      <c r="R14" s="72" t="s">
        <v>244</v>
      </c>
      <c r="S14" s="24" t="s">
        <v>51</v>
      </c>
      <c r="T14" s="71" t="s">
        <v>50</v>
      </c>
      <c r="U14" s="72" t="s">
        <v>244</v>
      </c>
      <c r="V14" s="151" t="s">
        <v>51</v>
      </c>
      <c r="W14" s="71" t="s">
        <v>50</v>
      </c>
      <c r="X14" s="72" t="s">
        <v>244</v>
      </c>
      <c r="Y14" s="24" t="s">
        <v>51</v>
      </c>
      <c r="Z14" s="18"/>
      <c r="AA14" s="18"/>
      <c r="AB14" s="18"/>
      <c r="AC14" s="18"/>
    </row>
    <row r="15" spans="1:29">
      <c r="A15" s="152" t="s">
        <v>245</v>
      </c>
      <c r="B15" s="74">
        <f>COUNTIFS('MultiReslNoNull - short fields'!AK:AK, "FZ no SLR", 'MultiReslNoNull - short fields'!Z:Z, "Apartments")</f>
        <v>23</v>
      </c>
      <c r="C15" s="280">
        <f>SUMIFS('MultiReslNoNull - short fields'!W:W,'MultiReslNoNull - short fields'!AK:AK, "FZ no SLR", 'MultiReslNoNull - short fields'!Z:Z, "Apartments")</f>
        <v>305</v>
      </c>
      <c r="D15" s="147">
        <f>SUMIFS('MultiReslNoNull - short fields'!AJ:AJ,'MultiReslNoNull - short fields'!AK:AK, "FZ no SLR", 'MultiReslNoNull - short fields'!Z:Z, "Apartments")</f>
        <v>8.3138505566081271</v>
      </c>
      <c r="E15" s="75">
        <f>COUNTIFS('MultiReslNoNull - short fields'!AK:AK, "FZ with SLR", 'MultiReslNoNull - short fields'!Z:Z, "Apartments", 'MultiReslNoNull - short fields'!AG:AG, 0)</f>
        <v>0</v>
      </c>
      <c r="F15" s="76">
        <v>0</v>
      </c>
      <c r="G15" s="148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5">
        <v>0</v>
      </c>
      <c r="U15" s="76">
        <v>0</v>
      </c>
      <c r="V15" s="149">
        <v>0</v>
      </c>
      <c r="W15" s="75">
        <f>COUNTIFS('MultiReslNoNull - short fields'!AK:AK, "FZ with SLR", 'MultiReslNoNull - short fields'!Z:Z, "Apartments", 'MultiReslNoNull - short fields'!AG:AG, 6)</f>
        <v>8</v>
      </c>
      <c r="X15" s="76">
        <f>SUMIFS('MultiReslNoNull - short fields'!W:W,'MultiReslNoNull - short fields'!AK:AK, "FZ with SLR", 'MultiReslNoNull - short fields'!Z:Z, "Apartments", 'MultiReslNoNull - short fields'!AG:AG,6)</f>
        <v>67</v>
      </c>
      <c r="Y15" s="20">
        <f>SUMIFS('MultiReslNoNull - short fields'!AJ:AJ,'MultiReslNoNull - short fields'!AK:AK, "FZ with SLR", 'MultiReslNoNull - short fields'!Z:Z, "Apartments", 'MultiReslNoNull - short fields'!AG:AG,6)</f>
        <v>2.3564816875137744</v>
      </c>
      <c r="Z15" s="18"/>
      <c r="AA15" s="18"/>
      <c r="AB15" s="18"/>
      <c r="AC15" s="18"/>
    </row>
    <row r="16" spans="1:29">
      <c r="A16" s="152" t="s">
        <v>246</v>
      </c>
      <c r="B16" s="74">
        <f>COUNTIFS('MultiReslNoNull - short fields'!AK:AK, "FZ no SLR", 'MultiReslNoNull - short fields'!Z:Z, "Duplex, Triplex, Fourplex")</f>
        <v>33</v>
      </c>
      <c r="C16" s="280">
        <f>SUMIFS('MultiReslNoNull - short fields'!W:W,'MultiReslNoNull - short fields'!AK:AK, "FZ no SLR", 'MultiReslNoNull - short fields'!Z:Z, "Duplex, Triplex, Fourplex")</f>
        <v>100</v>
      </c>
      <c r="D16" s="147">
        <f>SUMIFS('MultiReslNoNull - short fields'!AJ:AJ,'MultiReslNoNull - short fields'!AK:AK, "FZ no SLR", 'MultiReslNoNull - short fields'!Z:Z, "Duplex, Triplex, Fourplex")</f>
        <v>4.0950186725190543</v>
      </c>
      <c r="E16" s="75">
        <f>COUNTIFS('MultiReslNoNull - short fields'!AK:AK, "FZ with SLR", 'MultiReslNoNull - short fields'!Z:Z, "Duplex, Triplex, Fourplex", 'MultiReslNoNull - short fields'!AG:AG, 0)</f>
        <v>0</v>
      </c>
      <c r="F16" s="76">
        <v>0</v>
      </c>
      <c r="G16" s="148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5">
        <v>0</v>
      </c>
      <c r="U16" s="76">
        <v>0</v>
      </c>
      <c r="V16" s="149">
        <v>0</v>
      </c>
      <c r="W16" s="75">
        <f>COUNTIFS('MultiReslNoNull - short fields'!AK:AK, "FZ with SLR", 'MultiReslNoNull - short fields'!Z:Z, "Duplex, Triplex, Fourplex", 'MultiReslNoNull - short fields'!AG:AG, 6)</f>
        <v>12</v>
      </c>
      <c r="X16" s="76">
        <f>SUMIFS('MultiReslNoNull - short fields'!W:W,'MultiReslNoNull - short fields'!AK:AK, "FZ with SLR", 'MultiReslNoNull - short fields'!Z:Z, "Duplex, Triplex, Fourplex", 'MultiReslNoNull - short fields'!AG:AG,6)</f>
        <v>34</v>
      </c>
      <c r="Y16" s="20">
        <f>SUMIFS('MultiReslNoNull - short fields'!AJ:AJ,'MultiReslNoNull - short fields'!AK:AK, "FZ with SLR", 'MultiReslNoNull - short fields'!Z:Z, "Duplex, Triplex, Fourplex", 'MultiReslNoNull - short fields'!AG:AG,6)</f>
        <v>1.6288934509690081</v>
      </c>
      <c r="Z16" s="18"/>
      <c r="AA16" s="18"/>
      <c r="AB16" s="18"/>
      <c r="AC16" s="18"/>
    </row>
    <row r="17" spans="1:29">
      <c r="A17" s="152" t="s">
        <v>247</v>
      </c>
      <c r="B17" s="74">
        <f>COUNTIFS('MultiReslNoNull - short fields'!AK:AK, "FZ no SLR", 'MultiReslNoNull - short fields'!Z:Z, "Condos, cooperatives (-1 Single Family) (-2 Rossmoor)")</f>
        <v>0</v>
      </c>
      <c r="C17" s="280">
        <f>SUMIFS('MultiReslNoNull - short fields'!W:W,'MultiReslNoNull - short fields'!AK:AK, "FZ no SLR", 'MultiReslNoNull - short fields'!Z:Z, "Condos, cooperatives (-1 Single Family) (-2 Rossmoor)")</f>
        <v>0</v>
      </c>
      <c r="D17" s="147">
        <f>SUMIFS('MultiReslNoNull - short fields'!AJ:AJ,'MultiReslNoNull - short fields'!AK:AK, "FZ no SLR", 'MultiReslNoNull - short fields'!Z:Z, "Condos, cooperatives (-1 Single Family) (-2 Rossmoor)")</f>
        <v>0</v>
      </c>
      <c r="E17" s="75">
        <f>COUNTIFS('MultiReslNoNull - short fields'!AK:AK, "FZ with SLR", 'MultiReslNoNull - short fields'!Z:Z, "Condos, cooperatives (-1 Single Family) (-2 Rossmoor)", 'MultiReslNoNull - short fields'!AG:AG, 0)</f>
        <v>0</v>
      </c>
      <c r="F17" s="76">
        <v>0</v>
      </c>
      <c r="G17" s="148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5">
        <v>0</v>
      </c>
      <c r="U17" s="76">
        <v>0</v>
      </c>
      <c r="V17" s="149">
        <v>0</v>
      </c>
      <c r="W17" s="75">
        <f>COUNTIFS('MultiReslNoNull - short fields'!AK:AK, "FZ with SLR", 'MultiReslNoNull - short fields'!Z:Z, "Condos, cooperatives (-1 Single Family) (-2 Rossmoor)", 'MultiReslNoNull - short fields'!AG:AG, 6)</f>
        <v>0</v>
      </c>
      <c r="X17" s="76">
        <v>0</v>
      </c>
      <c r="Y17" s="20">
        <v>0</v>
      </c>
      <c r="Z17" s="18"/>
      <c r="AA17" s="18"/>
      <c r="AB17" s="18"/>
      <c r="AC17" s="18"/>
    </row>
    <row r="18" spans="1:29">
      <c r="A18" s="152" t="s">
        <v>248</v>
      </c>
      <c r="B18" s="74">
        <f>COUNTIFS('MultiReslNoNull - short fields'!AK:AK, "FZ no SLR", 'MultiReslNoNull - short fields'!Z:Z, "Vacant Multi Family")</f>
        <v>4</v>
      </c>
      <c r="C18" s="280">
        <f>SUMIFS('MultiReslNoNull - short fields'!W:W,'MultiReslNoNull - short fields'!AK:AK, "FZ no SLR", 'MultiReslNoNull - short fields'!Z:Z, "Vacant Multi Family")</f>
        <v>0</v>
      </c>
      <c r="D18" s="147">
        <f>SUMIFS('MultiReslNoNull - short fields'!AJ:AJ,'MultiReslNoNull - short fields'!AK:AK, "FZ no SLR", 'MultiReslNoNull - short fields'!Z:Z, "Vacant Multi Family")</f>
        <v>0.55468455159664831</v>
      </c>
      <c r="E18" s="75">
        <f>COUNTIFS('MultiReslNoNull - short fields'!AK:AK, "FZ with SLR", 'MultiReslNoNull - short fields'!Z:Z, "Vacant Multi Family", 'MultiReslNoNull - short fields'!AG:AG, 0)</f>
        <v>0</v>
      </c>
      <c r="F18" s="76">
        <v>0</v>
      </c>
      <c r="G18" s="148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5">
        <v>0</v>
      </c>
      <c r="U18" s="76">
        <v>0</v>
      </c>
      <c r="V18" s="149">
        <v>0</v>
      </c>
      <c r="W18" s="75">
        <f>COUNTIFS('MultiReslNoNull - short fields'!AK:AK, "FZ with SLR", 'MultiReslNoNull - short fields'!Z:Z, "Vacant Multi Family", 'MultiReslNoNull - short fields'!AG:AG, 6)</f>
        <v>0</v>
      </c>
      <c r="X18" s="76">
        <v>0</v>
      </c>
      <c r="Y18" s="20">
        <v>0</v>
      </c>
      <c r="Z18" s="18"/>
      <c r="AA18" s="18"/>
      <c r="AB18" s="18"/>
      <c r="AC18" s="18"/>
    </row>
    <row r="19" spans="1:29" s="32" customFormat="1">
      <c r="A19" s="29" t="s">
        <v>19</v>
      </c>
      <c r="B19" s="81">
        <f t="shared" ref="B19:Y19" si="0">SUM(B15:B18)</f>
        <v>60</v>
      </c>
      <c r="C19" s="281">
        <f t="shared" si="0"/>
        <v>405</v>
      </c>
      <c r="D19" s="154">
        <f t="shared" si="0"/>
        <v>12.963553780723828</v>
      </c>
      <c r="E19" s="155">
        <f t="shared" si="0"/>
        <v>0</v>
      </c>
      <c r="F19" s="282">
        <f t="shared" si="0"/>
        <v>0</v>
      </c>
      <c r="G19" s="156">
        <f t="shared" si="0"/>
        <v>0</v>
      </c>
      <c r="H19" s="155">
        <f t="shared" si="0"/>
        <v>0</v>
      </c>
      <c r="I19" s="155">
        <f t="shared" si="0"/>
        <v>0</v>
      </c>
      <c r="J19" s="31">
        <f t="shared" si="0"/>
        <v>0</v>
      </c>
      <c r="K19" s="155">
        <f t="shared" si="0"/>
        <v>0</v>
      </c>
      <c r="L19" s="282">
        <f t="shared" si="0"/>
        <v>0</v>
      </c>
      <c r="M19" s="31">
        <f t="shared" si="0"/>
        <v>0</v>
      </c>
      <c r="N19" s="155">
        <f t="shared" si="0"/>
        <v>0</v>
      </c>
      <c r="O19" s="282">
        <f t="shared" si="0"/>
        <v>0</v>
      </c>
      <c r="P19" s="31">
        <f t="shared" si="0"/>
        <v>0</v>
      </c>
      <c r="Q19" s="155">
        <f t="shared" si="0"/>
        <v>0</v>
      </c>
      <c r="R19" s="282">
        <f t="shared" si="0"/>
        <v>0</v>
      </c>
      <c r="S19" s="31">
        <f t="shared" si="0"/>
        <v>0</v>
      </c>
      <c r="T19" s="155">
        <f t="shared" si="0"/>
        <v>0</v>
      </c>
      <c r="U19" s="282">
        <f t="shared" si="0"/>
        <v>0</v>
      </c>
      <c r="V19" s="155">
        <f t="shared" si="0"/>
        <v>0</v>
      </c>
      <c r="W19" s="155">
        <f t="shared" si="0"/>
        <v>20</v>
      </c>
      <c r="X19" s="282">
        <f t="shared" si="0"/>
        <v>101</v>
      </c>
      <c r="Y19" s="31">
        <f t="shared" si="0"/>
        <v>3.9853751384827825</v>
      </c>
    </row>
    <row r="20" spans="1:29" s="32" customFormat="1">
      <c r="A20" s="33"/>
      <c r="B20" s="86"/>
      <c r="C20" s="87"/>
      <c r="D20" s="158"/>
      <c r="E20" s="86"/>
      <c r="F20" s="87"/>
      <c r="G20" s="158"/>
      <c r="H20" s="86"/>
      <c r="I20" s="86"/>
      <c r="J20" s="34"/>
      <c r="K20" s="86"/>
      <c r="L20" s="87"/>
      <c r="M20" s="34"/>
      <c r="N20" s="86"/>
      <c r="O20" s="87"/>
      <c r="P20" s="34"/>
      <c r="Q20" s="86"/>
      <c r="R20" s="87"/>
      <c r="S20" s="34"/>
      <c r="T20" s="86"/>
      <c r="U20" s="87"/>
      <c r="V20" s="159"/>
      <c r="W20" s="86"/>
      <c r="X20" s="87"/>
      <c r="Y20" s="34"/>
    </row>
    <row r="21" spans="1:29" s="32" customFormat="1">
      <c r="A21" s="5"/>
      <c r="B21" s="86"/>
      <c r="C21" s="87"/>
      <c r="D21" s="158"/>
      <c r="E21" s="86"/>
      <c r="F21" s="87"/>
      <c r="G21" s="158"/>
      <c r="H21" s="87"/>
      <c r="I21" s="87"/>
      <c r="J21" s="34"/>
      <c r="K21" s="86"/>
      <c r="L21" s="87"/>
      <c r="M21" s="34"/>
      <c r="N21" s="86"/>
      <c r="O21" s="87"/>
      <c r="P21" s="34"/>
      <c r="Q21" s="86"/>
      <c r="R21" s="87"/>
      <c r="S21" s="34"/>
      <c r="T21" s="86"/>
      <c r="U21" s="87"/>
      <c r="V21" s="159"/>
      <c r="W21" s="86"/>
      <c r="X21" s="87"/>
      <c r="Y21" s="34"/>
    </row>
    <row r="22" spans="1:29">
      <c r="A22" s="35" t="s">
        <v>20</v>
      </c>
      <c r="B22" s="32"/>
      <c r="C22" s="283"/>
      <c r="D22" s="160"/>
      <c r="E22" s="88"/>
      <c r="F22" s="89"/>
      <c r="G22" s="161"/>
      <c r="H22" s="89"/>
      <c r="I22" s="89"/>
      <c r="J22" s="37"/>
      <c r="K22" s="90"/>
      <c r="L22" s="89"/>
      <c r="M22" s="37"/>
      <c r="N22" s="90"/>
      <c r="O22" s="89"/>
      <c r="P22" s="37"/>
      <c r="Q22" s="90"/>
      <c r="R22" s="89"/>
      <c r="S22" s="37"/>
      <c r="T22" s="90"/>
      <c r="U22" s="89"/>
      <c r="V22" s="162"/>
      <c r="W22" s="90"/>
      <c r="X22" s="89"/>
      <c r="Y22" s="37"/>
      <c r="Z22" s="32"/>
      <c r="AA22" s="32"/>
      <c r="AB22" s="32"/>
      <c r="AC22" s="32"/>
    </row>
    <row r="23" spans="1:29" s="21" customFormat="1">
      <c r="A23" s="38"/>
      <c r="B23" s="18"/>
      <c r="C23" s="102"/>
      <c r="D23" s="163"/>
      <c r="E23" s="68" t="s">
        <v>43</v>
      </c>
      <c r="F23" s="69"/>
      <c r="G23" s="148"/>
      <c r="H23" s="69" t="s">
        <v>44</v>
      </c>
      <c r="I23" s="69"/>
      <c r="J23" s="20"/>
      <c r="K23" s="68" t="s">
        <v>45</v>
      </c>
      <c r="L23" s="76"/>
      <c r="M23" s="20"/>
      <c r="N23" s="68" t="s">
        <v>46</v>
      </c>
      <c r="O23" s="76"/>
      <c r="P23" s="20"/>
      <c r="Q23" s="68" t="s">
        <v>47</v>
      </c>
      <c r="R23" s="76"/>
      <c r="S23" s="20"/>
      <c r="T23" s="91" t="s">
        <v>48</v>
      </c>
      <c r="U23" s="76"/>
      <c r="V23" s="164"/>
      <c r="W23" s="91" t="s">
        <v>49</v>
      </c>
      <c r="X23" s="76"/>
      <c r="Y23" s="92"/>
      <c r="Z23" s="18"/>
      <c r="AA23" s="18"/>
      <c r="AB23" s="18"/>
      <c r="AC23" s="18"/>
    </row>
    <row r="24" spans="1:29" s="21" customFormat="1">
      <c r="A24" s="38"/>
      <c r="B24" s="18"/>
      <c r="C24" s="102"/>
      <c r="D24" s="163"/>
      <c r="E24" s="93" t="s">
        <v>50</v>
      </c>
      <c r="F24" s="72" t="s">
        <v>244</v>
      </c>
      <c r="G24" s="150" t="s">
        <v>51</v>
      </c>
      <c r="H24" s="72" t="s">
        <v>50</v>
      </c>
      <c r="I24" s="72" t="s">
        <v>244</v>
      </c>
      <c r="J24" s="24" t="s">
        <v>51</v>
      </c>
      <c r="K24" s="71" t="s">
        <v>50</v>
      </c>
      <c r="L24" s="72" t="s">
        <v>244</v>
      </c>
      <c r="M24" s="24" t="s">
        <v>51</v>
      </c>
      <c r="N24" s="71" t="s">
        <v>50</v>
      </c>
      <c r="O24" s="72" t="s">
        <v>244</v>
      </c>
      <c r="P24" s="24" t="s">
        <v>51</v>
      </c>
      <c r="Q24" s="71" t="s">
        <v>50</v>
      </c>
      <c r="R24" s="72" t="s">
        <v>244</v>
      </c>
      <c r="S24" s="24" t="s">
        <v>51</v>
      </c>
      <c r="T24" s="94" t="s">
        <v>50</v>
      </c>
      <c r="U24" s="72" t="s">
        <v>244</v>
      </c>
      <c r="V24" s="165" t="s">
        <v>51</v>
      </c>
      <c r="W24" s="94" t="s">
        <v>50</v>
      </c>
      <c r="X24" s="72" t="s">
        <v>244</v>
      </c>
      <c r="Y24" s="95" t="s">
        <v>51</v>
      </c>
      <c r="Z24" s="18"/>
      <c r="AA24" s="18"/>
      <c r="AB24" s="18"/>
      <c r="AC24" s="18"/>
    </row>
    <row r="25" spans="1:29">
      <c r="A25" s="152" t="s">
        <v>245</v>
      </c>
      <c r="B25" s="32"/>
      <c r="C25" s="283"/>
      <c r="D25" s="160"/>
      <c r="E25" s="75">
        <f t="shared" ref="E25:G28" si="1">E15+B15</f>
        <v>23</v>
      </c>
      <c r="F25" s="76">
        <f t="shared" si="1"/>
        <v>305</v>
      </c>
      <c r="G25" s="148">
        <f t="shared" si="1"/>
        <v>8.3138505566081271</v>
      </c>
      <c r="H25" s="76">
        <f t="shared" ref="H25:Y28" si="2">H15+E25</f>
        <v>23</v>
      </c>
      <c r="I25" s="76">
        <f t="shared" si="2"/>
        <v>305</v>
      </c>
      <c r="J25" s="20">
        <f t="shared" si="2"/>
        <v>8.3138505566081271</v>
      </c>
      <c r="K25" s="75">
        <f t="shared" si="2"/>
        <v>23</v>
      </c>
      <c r="L25" s="76">
        <f t="shared" si="2"/>
        <v>305</v>
      </c>
      <c r="M25" s="20">
        <f t="shared" si="2"/>
        <v>8.3138505566081271</v>
      </c>
      <c r="N25" s="75">
        <f t="shared" si="2"/>
        <v>23</v>
      </c>
      <c r="O25" s="76">
        <f t="shared" si="2"/>
        <v>305</v>
      </c>
      <c r="P25" s="20">
        <f t="shared" si="2"/>
        <v>8.3138505566081271</v>
      </c>
      <c r="Q25" s="75">
        <f t="shared" si="2"/>
        <v>23</v>
      </c>
      <c r="R25" s="76">
        <f t="shared" si="2"/>
        <v>305</v>
      </c>
      <c r="S25" s="20">
        <f t="shared" si="2"/>
        <v>8.3138505566081271</v>
      </c>
      <c r="T25" s="97">
        <f t="shared" si="2"/>
        <v>23</v>
      </c>
      <c r="U25" s="284">
        <f t="shared" si="2"/>
        <v>305</v>
      </c>
      <c r="V25" s="165">
        <f t="shared" si="2"/>
        <v>8.3138505566081271</v>
      </c>
      <c r="W25" s="97">
        <f t="shared" si="2"/>
        <v>31</v>
      </c>
      <c r="X25" s="284">
        <f t="shared" si="2"/>
        <v>372</v>
      </c>
      <c r="Y25" s="95">
        <f t="shared" si="2"/>
        <v>10.670332244121902</v>
      </c>
      <c r="Z25" s="32"/>
      <c r="AA25" s="32"/>
      <c r="AB25" s="32"/>
      <c r="AC25" s="32"/>
    </row>
    <row r="26" spans="1:29">
      <c r="A26" s="152" t="s">
        <v>246</v>
      </c>
      <c r="B26" s="32"/>
      <c r="C26" s="283"/>
      <c r="D26" s="160"/>
      <c r="E26" s="75">
        <f t="shared" si="1"/>
        <v>33</v>
      </c>
      <c r="F26" s="76">
        <f t="shared" si="1"/>
        <v>100</v>
      </c>
      <c r="G26" s="148">
        <f t="shared" si="1"/>
        <v>4.0950186725190543</v>
      </c>
      <c r="H26" s="76">
        <f t="shared" si="2"/>
        <v>33</v>
      </c>
      <c r="I26" s="76">
        <f t="shared" si="2"/>
        <v>100</v>
      </c>
      <c r="J26" s="20">
        <f t="shared" si="2"/>
        <v>4.0950186725190543</v>
      </c>
      <c r="K26" s="75">
        <f t="shared" si="2"/>
        <v>33</v>
      </c>
      <c r="L26" s="76">
        <f t="shared" si="2"/>
        <v>100</v>
      </c>
      <c r="M26" s="20">
        <f t="shared" si="2"/>
        <v>4.0950186725190543</v>
      </c>
      <c r="N26" s="75">
        <f t="shared" si="2"/>
        <v>33</v>
      </c>
      <c r="O26" s="76">
        <f t="shared" si="2"/>
        <v>100</v>
      </c>
      <c r="P26" s="20">
        <f t="shared" si="2"/>
        <v>4.0950186725190543</v>
      </c>
      <c r="Q26" s="75">
        <f t="shared" si="2"/>
        <v>33</v>
      </c>
      <c r="R26" s="76">
        <f t="shared" si="2"/>
        <v>100</v>
      </c>
      <c r="S26" s="20">
        <f t="shared" si="2"/>
        <v>4.0950186725190543</v>
      </c>
      <c r="T26" s="97">
        <f t="shared" si="2"/>
        <v>33</v>
      </c>
      <c r="U26" s="284">
        <f t="shared" si="2"/>
        <v>100</v>
      </c>
      <c r="V26" s="165">
        <f t="shared" si="2"/>
        <v>4.0950186725190543</v>
      </c>
      <c r="W26" s="97">
        <f t="shared" si="2"/>
        <v>45</v>
      </c>
      <c r="X26" s="284">
        <f t="shared" si="2"/>
        <v>134</v>
      </c>
      <c r="Y26" s="95">
        <f t="shared" si="2"/>
        <v>5.7239121234880628</v>
      </c>
      <c r="Z26" s="32"/>
      <c r="AA26" s="32"/>
      <c r="AB26" s="32"/>
      <c r="AC26" s="32"/>
    </row>
    <row r="27" spans="1:29">
      <c r="A27" s="152" t="s">
        <v>247</v>
      </c>
      <c r="B27" s="21"/>
      <c r="C27" s="172"/>
      <c r="D27" s="166"/>
      <c r="E27" s="75">
        <f t="shared" si="1"/>
        <v>0</v>
      </c>
      <c r="F27" s="76">
        <f t="shared" si="1"/>
        <v>0</v>
      </c>
      <c r="G27" s="148">
        <f t="shared" si="1"/>
        <v>0</v>
      </c>
      <c r="H27" s="76">
        <f t="shared" si="2"/>
        <v>0</v>
      </c>
      <c r="I27" s="76">
        <f t="shared" si="2"/>
        <v>0</v>
      </c>
      <c r="J27" s="20">
        <f t="shared" si="2"/>
        <v>0</v>
      </c>
      <c r="K27" s="75">
        <f t="shared" si="2"/>
        <v>0</v>
      </c>
      <c r="L27" s="76">
        <f t="shared" si="2"/>
        <v>0</v>
      </c>
      <c r="M27" s="20">
        <f t="shared" si="2"/>
        <v>0</v>
      </c>
      <c r="N27" s="75">
        <f t="shared" si="2"/>
        <v>0</v>
      </c>
      <c r="O27" s="76">
        <f t="shared" si="2"/>
        <v>0</v>
      </c>
      <c r="P27" s="20">
        <f t="shared" si="2"/>
        <v>0</v>
      </c>
      <c r="Q27" s="75">
        <f t="shared" si="2"/>
        <v>0</v>
      </c>
      <c r="R27" s="76">
        <f t="shared" si="2"/>
        <v>0</v>
      </c>
      <c r="S27" s="20">
        <f t="shared" si="2"/>
        <v>0</v>
      </c>
      <c r="T27" s="97">
        <f t="shared" si="2"/>
        <v>0</v>
      </c>
      <c r="U27" s="284">
        <f t="shared" si="2"/>
        <v>0</v>
      </c>
      <c r="V27" s="165">
        <f t="shared" si="2"/>
        <v>0</v>
      </c>
      <c r="W27" s="97">
        <f t="shared" si="2"/>
        <v>0</v>
      </c>
      <c r="X27" s="284">
        <f t="shared" si="2"/>
        <v>0</v>
      </c>
      <c r="Y27" s="95">
        <f t="shared" si="2"/>
        <v>0</v>
      </c>
      <c r="Z27" s="18"/>
      <c r="AA27" s="18"/>
      <c r="AB27" s="18"/>
      <c r="AC27" s="18"/>
    </row>
    <row r="28" spans="1:29">
      <c r="A28" s="152" t="s">
        <v>248</v>
      </c>
      <c r="B28" s="21"/>
      <c r="C28" s="172"/>
      <c r="D28" s="166"/>
      <c r="E28" s="75">
        <f t="shared" si="1"/>
        <v>4</v>
      </c>
      <c r="F28" s="76">
        <f t="shared" si="1"/>
        <v>0</v>
      </c>
      <c r="G28" s="148">
        <f t="shared" si="1"/>
        <v>0.55468455159664831</v>
      </c>
      <c r="H28" s="76">
        <f t="shared" si="2"/>
        <v>4</v>
      </c>
      <c r="I28" s="76">
        <f t="shared" si="2"/>
        <v>0</v>
      </c>
      <c r="J28" s="20">
        <f t="shared" si="2"/>
        <v>0.55468455159664831</v>
      </c>
      <c r="K28" s="75">
        <f t="shared" si="2"/>
        <v>4</v>
      </c>
      <c r="L28" s="76">
        <f t="shared" si="2"/>
        <v>0</v>
      </c>
      <c r="M28" s="20">
        <f t="shared" si="2"/>
        <v>0.55468455159664831</v>
      </c>
      <c r="N28" s="75">
        <f t="shared" si="2"/>
        <v>4</v>
      </c>
      <c r="O28" s="76">
        <f t="shared" si="2"/>
        <v>0</v>
      </c>
      <c r="P28" s="20">
        <f t="shared" si="2"/>
        <v>0.55468455159664831</v>
      </c>
      <c r="Q28" s="75">
        <f t="shared" si="2"/>
        <v>4</v>
      </c>
      <c r="R28" s="76">
        <f t="shared" si="2"/>
        <v>0</v>
      </c>
      <c r="S28" s="20">
        <f t="shared" si="2"/>
        <v>0.55468455159664831</v>
      </c>
      <c r="T28" s="167">
        <f t="shared" si="2"/>
        <v>4</v>
      </c>
      <c r="U28" s="285">
        <f t="shared" si="2"/>
        <v>0</v>
      </c>
      <c r="V28" s="168">
        <f t="shared" si="2"/>
        <v>0.55468455159664831</v>
      </c>
      <c r="W28" s="167">
        <f t="shared" si="2"/>
        <v>4</v>
      </c>
      <c r="X28" s="285">
        <f t="shared" si="2"/>
        <v>0</v>
      </c>
      <c r="Y28" s="169">
        <f t="shared" si="2"/>
        <v>0.55468455159664831</v>
      </c>
      <c r="Z28" s="18"/>
      <c r="AA28" s="18"/>
      <c r="AB28" s="18"/>
      <c r="AC28" s="18"/>
    </row>
    <row r="29" spans="1:29" s="46" customFormat="1">
      <c r="A29" s="29" t="s">
        <v>19</v>
      </c>
      <c r="B29" s="18"/>
      <c r="C29" s="102"/>
      <c r="D29" s="163"/>
      <c r="E29" s="83">
        <f t="shared" ref="E29:Y29" si="3">SUM(E25:E28)</f>
        <v>60</v>
      </c>
      <c r="F29" s="85">
        <f t="shared" si="3"/>
        <v>405</v>
      </c>
      <c r="G29" s="170">
        <f t="shared" si="3"/>
        <v>12.963553780723828</v>
      </c>
      <c r="H29" s="83">
        <f t="shared" si="3"/>
        <v>60</v>
      </c>
      <c r="I29" s="83">
        <f t="shared" si="3"/>
        <v>405</v>
      </c>
      <c r="J29" s="84">
        <f t="shared" si="3"/>
        <v>12.963553780723828</v>
      </c>
      <c r="K29" s="83">
        <f t="shared" si="3"/>
        <v>60</v>
      </c>
      <c r="L29" s="85">
        <f t="shared" si="3"/>
        <v>405</v>
      </c>
      <c r="M29" s="84">
        <f t="shared" si="3"/>
        <v>12.963553780723828</v>
      </c>
      <c r="N29" s="83">
        <f t="shared" si="3"/>
        <v>60</v>
      </c>
      <c r="O29" s="85">
        <f t="shared" si="3"/>
        <v>405</v>
      </c>
      <c r="P29" s="84">
        <f t="shared" si="3"/>
        <v>12.963553780723828</v>
      </c>
      <c r="Q29" s="83">
        <f t="shared" si="3"/>
        <v>60</v>
      </c>
      <c r="R29" s="85">
        <f t="shared" si="3"/>
        <v>405</v>
      </c>
      <c r="S29" s="84">
        <f t="shared" si="3"/>
        <v>12.963553780723828</v>
      </c>
      <c r="T29" s="83">
        <f t="shared" si="3"/>
        <v>60</v>
      </c>
      <c r="U29" s="85">
        <f t="shared" si="3"/>
        <v>405</v>
      </c>
      <c r="V29" s="171">
        <f t="shared" si="3"/>
        <v>12.963553780723828</v>
      </c>
      <c r="W29" s="83">
        <f t="shared" si="3"/>
        <v>80</v>
      </c>
      <c r="X29" s="85">
        <f t="shared" si="3"/>
        <v>506</v>
      </c>
      <c r="Y29" s="84">
        <f t="shared" si="3"/>
        <v>16.948928919206612</v>
      </c>
      <c r="Z29" s="18"/>
      <c r="AA29" s="18"/>
      <c r="AB29" s="18"/>
      <c r="AC29" s="18"/>
    </row>
    <row r="30" spans="1:29" s="46" customFormat="1">
      <c r="A30" s="33"/>
      <c r="B30" s="18"/>
      <c r="C30" s="102"/>
      <c r="D30" s="163"/>
      <c r="E30" s="86"/>
      <c r="F30" s="87"/>
      <c r="G30" s="158"/>
      <c r="H30" s="102"/>
      <c r="I30" s="102"/>
      <c r="J30" s="39"/>
      <c r="K30" s="65"/>
      <c r="L30" s="102"/>
      <c r="M30" s="39"/>
      <c r="N30" s="18"/>
      <c r="O30" s="102"/>
      <c r="P30" s="17"/>
      <c r="Q30" s="65"/>
      <c r="R30" s="102"/>
      <c r="S30" s="17"/>
      <c r="T30" s="65"/>
      <c r="U30" s="102"/>
      <c r="V30" s="146"/>
      <c r="W30" s="65"/>
      <c r="X30" s="102"/>
      <c r="Y30" s="17"/>
      <c r="Z30" s="18"/>
      <c r="AA30" s="18"/>
      <c r="AB30" s="18"/>
      <c r="AC30" s="18"/>
    </row>
    <row r="31" spans="1:29" s="46" customFormat="1">
      <c r="A31" s="33"/>
      <c r="B31" s="18"/>
      <c r="C31" s="102"/>
      <c r="D31" s="163"/>
      <c r="E31" s="86"/>
      <c r="F31" s="87"/>
      <c r="G31" s="158"/>
      <c r="H31" s="102"/>
      <c r="I31" s="102"/>
      <c r="J31" s="39"/>
      <c r="K31" s="65"/>
      <c r="L31" s="102"/>
      <c r="M31" s="39"/>
      <c r="N31" s="18"/>
      <c r="O31" s="102"/>
      <c r="P31" s="17"/>
      <c r="Q31" s="65"/>
      <c r="R31" s="102"/>
      <c r="S31" s="17"/>
      <c r="T31" s="65"/>
      <c r="U31" s="102"/>
      <c r="V31" s="146"/>
      <c r="W31" s="65"/>
      <c r="X31" s="102"/>
      <c r="Y31" s="17"/>
      <c r="Z31" s="18"/>
      <c r="AA31" s="18"/>
      <c r="AB31" s="18"/>
      <c r="AC31" s="18"/>
    </row>
    <row r="32" spans="1:29" s="46" customFormat="1">
      <c r="A32" s="33"/>
      <c r="B32" s="18"/>
      <c r="C32" s="102"/>
      <c r="D32" s="163"/>
      <c r="E32" s="86"/>
      <c r="F32" s="87"/>
      <c r="G32" s="158"/>
      <c r="H32" s="102"/>
      <c r="I32" s="102"/>
      <c r="J32" s="39"/>
      <c r="K32" s="65"/>
      <c r="L32" s="102"/>
      <c r="M32" s="39"/>
      <c r="N32" s="18"/>
      <c r="O32" s="102"/>
      <c r="P32" s="17"/>
      <c r="Q32" s="65"/>
      <c r="R32" s="102"/>
      <c r="S32" s="17"/>
      <c r="T32" s="65"/>
      <c r="U32" s="102"/>
      <c r="V32" s="146"/>
      <c r="W32" s="65"/>
      <c r="X32" s="102"/>
      <c r="Y32" s="17"/>
      <c r="Z32" s="18"/>
      <c r="AA32" s="18"/>
      <c r="AB32" s="18"/>
      <c r="AC32" s="18"/>
    </row>
    <row r="33" spans="1:29">
      <c r="A33" s="103" t="s">
        <v>6</v>
      </c>
      <c r="B33" s="21"/>
      <c r="C33" s="172"/>
      <c r="D33" s="166"/>
      <c r="E33" s="21"/>
      <c r="F33" s="172"/>
      <c r="G33" s="166"/>
      <c r="H33" s="172"/>
      <c r="I33" s="172"/>
      <c r="J33" s="51"/>
      <c r="K33" s="65"/>
      <c r="L33" s="172"/>
      <c r="M33" s="39"/>
      <c r="N33" s="18"/>
      <c r="O33" s="172"/>
      <c r="P33" s="17"/>
      <c r="Q33" s="65"/>
      <c r="R33" s="172"/>
      <c r="S33" s="17"/>
      <c r="T33" s="65"/>
      <c r="U33" s="172"/>
      <c r="V33" s="146"/>
      <c r="W33" s="65"/>
      <c r="X33" s="172"/>
      <c r="Y33" s="17"/>
      <c r="Z33" s="18"/>
      <c r="AA33" s="18"/>
      <c r="AB33" s="18"/>
      <c r="AC33" s="18"/>
    </row>
    <row r="34" spans="1:29" s="21" customFormat="1">
      <c r="A34" s="14"/>
      <c r="C34" s="172"/>
      <c r="E34" s="106" t="s">
        <v>56</v>
      </c>
      <c r="F34" s="107"/>
      <c r="G34" s="173"/>
      <c r="H34" s="106" t="s">
        <v>57</v>
      </c>
      <c r="I34" s="173"/>
      <c r="J34" s="173"/>
      <c r="K34" s="107" t="s">
        <v>58</v>
      </c>
      <c r="L34" s="112"/>
      <c r="M34" s="105"/>
      <c r="N34" s="106" t="s">
        <v>59</v>
      </c>
      <c r="O34" s="112"/>
      <c r="P34" s="105"/>
      <c r="Q34" s="106" t="s">
        <v>60</v>
      </c>
      <c r="R34" s="112"/>
      <c r="S34" s="105"/>
      <c r="T34" s="106" t="s">
        <v>61</v>
      </c>
      <c r="U34" s="112"/>
      <c r="V34" s="105"/>
      <c r="W34" s="106" t="s">
        <v>62</v>
      </c>
      <c r="X34" s="107"/>
      <c r="Y34" s="174"/>
      <c r="AC34" s="18"/>
    </row>
    <row r="35" spans="1:29" s="287" customFormat="1">
      <c r="A35" s="286"/>
      <c r="C35" s="288"/>
      <c r="E35" s="118" t="s">
        <v>50</v>
      </c>
      <c r="F35" s="110" t="s">
        <v>244</v>
      </c>
      <c r="G35" s="175" t="s">
        <v>51</v>
      </c>
      <c r="H35" s="108" t="s">
        <v>50</v>
      </c>
      <c r="I35" s="175" t="s">
        <v>244</v>
      </c>
      <c r="J35" s="175" t="s">
        <v>51</v>
      </c>
      <c r="K35" s="110" t="s">
        <v>50</v>
      </c>
      <c r="L35" s="110" t="s">
        <v>244</v>
      </c>
      <c r="M35" s="109" t="s">
        <v>51</v>
      </c>
      <c r="N35" s="108" t="s">
        <v>50</v>
      </c>
      <c r="O35" s="110" t="s">
        <v>244</v>
      </c>
      <c r="P35" s="109" t="s">
        <v>51</v>
      </c>
      <c r="Q35" s="108" t="s">
        <v>50</v>
      </c>
      <c r="R35" s="110" t="s">
        <v>244</v>
      </c>
      <c r="S35" s="109" t="s">
        <v>51</v>
      </c>
      <c r="T35" s="108" t="s">
        <v>50</v>
      </c>
      <c r="U35" s="110" t="s">
        <v>249</v>
      </c>
      <c r="V35" s="109" t="s">
        <v>51</v>
      </c>
      <c r="W35" s="108" t="s">
        <v>50</v>
      </c>
      <c r="X35" s="110" t="s">
        <v>244</v>
      </c>
      <c r="Y35" s="176" t="s">
        <v>51</v>
      </c>
      <c r="AC35" s="65"/>
    </row>
    <row r="36" spans="1:29">
      <c r="A36" s="177" t="s">
        <v>245</v>
      </c>
      <c r="E36" s="113">
        <f>COUNTIFS('MultiReslNoNull - short fields'!AK:AK, "SLR not in FZ", 'MultiReslNoNull - short fields'!Z:Z, "Apartments", 'MultiReslNoNull - short fields'!AG:AG, 0)</f>
        <v>0</v>
      </c>
      <c r="F36" s="112">
        <f>SUMIFS('MultiReslNoNull - short fields'!W:W,'MultiReslNoNull - short fields'!AK:AK, "SLR not in FZ", 'MultiReslNoNull - short fields'!Z:Z, "Apartments", 'MultiReslNoNull - short fields'!AG:AG,0)</f>
        <v>0</v>
      </c>
      <c r="G36" s="173">
        <f>SUMIFS('MultiReslNoNull - short fields'!AJ:AJ,'MultiReslNoNull - short fields'!AK:AK, "SLR not in FZ", 'MultiReslNoNull - short fields'!Z:Z, "Apartments", 'MultiReslNoNull - short fields'!AG:AG,0)</f>
        <v>0</v>
      </c>
      <c r="H36" s="111">
        <f>COUNTIFS('MultiReslNoNull - short fields'!AK:AK, "SLR not in FZ", 'MultiReslNoNull - short fields'!Z:Z, "Apartments", 'MultiReslNoNull - short fields'!AG:AG, 1)</f>
        <v>0</v>
      </c>
      <c r="I36" s="289">
        <v>0</v>
      </c>
      <c r="J36" s="173">
        <v>0</v>
      </c>
      <c r="K36" s="112">
        <v>0</v>
      </c>
      <c r="L36" s="290">
        <v>0</v>
      </c>
      <c r="M36" s="105">
        <v>0</v>
      </c>
      <c r="N36" s="113">
        <f>COUNTIFS('MultiReslNoNull - short fields'!AK:AK, "SLR not in FZ", 'MultiReslNoNull - short fields'!Z:Z, "Apartments", 'MultiReslNoNull - short fields'!AG:AG, 3)</f>
        <v>0</v>
      </c>
      <c r="O36" s="290">
        <f>SUMIFS('MultiReslNoNull - short fields'!W:W,'MultiReslNoNull - short fields'!AK:AK, "SLR not in FZ", 'MultiReslNoNull - short fields'!Z:Z, "Apartments", 'MultiReslNoNull - short fields'!AG:AG,3)</f>
        <v>0</v>
      </c>
      <c r="P36" s="105">
        <f>SUMIFS('MultiReslNoNull - short fields'!AJ:AJ,'MultiReslNoNull - short fields'!AK:AK, "SLR not in FZ", 'MultiReslNoNull - short fields'!Z:Z, "Apartments", 'MultiReslNoNull - short fields'!AG:AG,3)</f>
        <v>0</v>
      </c>
      <c r="Q36" s="113">
        <f>COUNTIFS('MultiReslNoNull - short fields'!AK:AK, "SLR not in FZ", 'MultiReslNoNull - short fields'!Z:Z, "Apartments", 'MultiReslNoNull - short fields'!AG:AG, 4)</f>
        <v>1</v>
      </c>
      <c r="R36" s="290">
        <f>SUMIFS('MultiReslNoNull - short fields'!W:W,'MultiReslNoNull - short fields'!AK:AK, "SLR not in FZ", 'MultiReslNoNull - short fields'!Z:Z, "Apartments", 'MultiReslNoNull - short fields'!AG:AG,4)</f>
        <v>100</v>
      </c>
      <c r="S36" s="105">
        <f>SUMIFS('MultiReslNoNull - short fields'!AJ:AJ,'MultiReslNoNull - short fields'!AK:AK, "SLR not in FZ", 'MultiReslNoNull - short fields'!Z:Z, "Apartments", 'MultiReslNoNull - short fields'!AG:AG,4)</f>
        <v>12.307467189439851</v>
      </c>
      <c r="T36" s="113">
        <f>COUNTIFS('MultiReslNoNull - short fields'!AK:AK, "SLR not in FZ", 'MultiReslNoNull - short fields'!Z:Z, "Apartments", 'MultiReslNoNull - short fields'!AG:AG, 5)</f>
        <v>2</v>
      </c>
      <c r="U36" s="290">
        <f>SUMIFS('MultiReslNoNull - short fields'!W:W,'MultiReslNoNull - short fields'!AK:AK, "SLR not in FZ", 'MultiReslNoNull - short fields'!Z:Z, "Apartments", 'MultiReslNoNull - short fields'!AG:AG,5)</f>
        <v>55</v>
      </c>
      <c r="V36" s="105">
        <f>SUMIFS('MultiReslNoNull - short fields'!AJ:AJ,'MultiReslNoNull - short fields'!AK:AK, "SLR not in FZ", 'MultiReslNoNull - short fields'!Z:Z, "Apartments", 'MultiReslNoNull - short fields'!AG:AG,5)</f>
        <v>1.2268988860638201</v>
      </c>
      <c r="W36" s="113">
        <f>COUNTIFS('MultiReslNoNull - short fields'!AK:AK, "SLR not in FZ", 'MultiReslNoNull - short fields'!Z:Z, "Apartments", 'MultiReslNoNull - short fields'!AG:AG, 6)</f>
        <v>3</v>
      </c>
      <c r="X36" s="112">
        <f>SUMIFS('MultiReslNoNull - short fields'!W:W,'MultiReslNoNull - short fields'!AK:AK, "SLR not in FZ", 'MultiReslNoNull - short fields'!Z:Z, "Apartments", 'MultiReslNoNull - short fields'!AG:AG,6)</f>
        <v>23</v>
      </c>
      <c r="Y36" s="174">
        <f>SUMIFS('MultiReslNoNull - short fields'!AJ:AJ,'MultiReslNoNull - short fields'!AK:AK, "SLR not in FZ", 'MultiReslNoNull - short fields'!Z:Z, "Apartments", 'MultiReslNoNull - short fields'!AG:AG,6)</f>
        <v>0.97392424452617088</v>
      </c>
      <c r="AC36" s="18"/>
    </row>
    <row r="37" spans="1:29">
      <c r="A37" s="178" t="s">
        <v>246</v>
      </c>
      <c r="E37" s="113">
        <f>COUNTIFS('MultiReslNoNull - short fields'!AK:AK, "SLR not in FZ", 'MultiReslNoNull - short fields'!Z:Z, "Duplex, Triplex, Fourplex", 'MultiReslNoNull - short fields'!AG:AG, 0)</f>
        <v>1</v>
      </c>
      <c r="F37" s="112">
        <f>SUMIFS('MultiReslNoNull - short fields'!W:W,'MultiReslNoNull - short fields'!AK:AK, "SLR not in FZ", 'MultiReslNoNull - short fields'!Z:Z, "Duplex, Triplex, Fourplex", 'MultiReslNoNull - short fields'!AG:AG,0)</f>
        <v>2</v>
      </c>
      <c r="G37" s="173">
        <f>SUMIFS('MultiReslNoNull - short fields'!AJ:AJ,'MultiReslNoNull - short fields'!AK:AK, "SLR not in FZ", 'MultiReslNoNull - short fields'!Z:Z, "Duplex, Triplex, Fourplex", 'MultiReslNoNull - short fields'!AG:AG,0)</f>
        <v>0.23130687129017449</v>
      </c>
      <c r="H37" s="111">
        <f>COUNTIFS('MultiReslNoNull - short fields'!AK:AK, "SLR not in FZ", 'MultiReslNoNull - short fields'!Z:Z, "Duplex, Triplex, Fourplex", 'MultiReslNoNull - short fields'!AG:AG, 1)</f>
        <v>0</v>
      </c>
      <c r="I37" s="289">
        <v>0</v>
      </c>
      <c r="J37" s="173">
        <v>0</v>
      </c>
      <c r="K37" s="112">
        <v>0</v>
      </c>
      <c r="L37" s="290">
        <v>0</v>
      </c>
      <c r="M37" s="105">
        <v>0</v>
      </c>
      <c r="N37" s="113">
        <f>COUNTIFS('MultiReslNoNull - short fields'!AK:AK, "SLR not in FZ", 'MultiReslNoNull - short fields'!Z:Z, "Duplex, Triplex, Fourplex", 'MultiReslNoNull - short fields'!AG:AG, 3)</f>
        <v>3</v>
      </c>
      <c r="O37" s="290">
        <f>SUMIFS('MultiReslNoNull - short fields'!W:W,'MultiReslNoNull - short fields'!AK:AK, "SLR not in FZ", 'MultiReslNoNull - short fields'!Z:Z, "Duplex, Triplex, Fourplex", 'MultiReslNoNull - short fields'!AG:AG,3)</f>
        <v>7</v>
      </c>
      <c r="P37" s="105">
        <f>SUMIFS('MultiReslNoNull - short fields'!AJ:AJ,'MultiReslNoNull - short fields'!AK:AK, "SLR not in FZ", 'MultiReslNoNull - short fields'!Z:Z, "Duplex, Triplex, Fourplex", 'MultiReslNoNull - short fields'!AG:AG,3)</f>
        <v>0.48889328041000923</v>
      </c>
      <c r="Q37" s="113">
        <f>COUNTIFS('MultiReslNoNull - short fields'!AK:AK, "SLR not in FZ", 'MultiReslNoNull - short fields'!Z:Z, "Duplex, Triplex, Fourplex", 'MultiReslNoNull - short fields'!AG:AG, 4)</f>
        <v>0</v>
      </c>
      <c r="R37" s="290">
        <f>COUNTIFS('MultiReslNoNull - short fields'!AK:AK, "SLR not in FZ", 'MultiReslNoNull - short fields'!Z:Z, "Duplex, Triplex, Fourplex", 'MultiReslNoNull - short fields'!AG:AG, 4)</f>
        <v>0</v>
      </c>
      <c r="S37" s="105">
        <f>SUMIFS('MultiReslNoNull - short fields'!AJ:AJ,'MultiReslNoNull - short fields'!AK:AK, "SLR not in FZ", 'MultiReslNoNull - short fields'!Z:Z, "Duplex, Triplex, Fourplex", 'MultiReslNoNull - short fields'!AG:AG,4)</f>
        <v>0</v>
      </c>
      <c r="T37" s="113">
        <f>COUNTIFS('MultiReslNoNull - short fields'!AK:AK, "SLR not in FZ", 'MultiReslNoNull - short fields'!Z:Z, "Duplex, Triplex, Fourplex", 'MultiReslNoNull - short fields'!AG:AG, 5)</f>
        <v>5</v>
      </c>
      <c r="U37" s="290">
        <f>SUMIFS('MultiReslNoNull - short fields'!W:W,'MultiReslNoNull - short fields'!AK:AK, "SLR not in FZ", 'MultiReslNoNull - short fields'!Z:Z, "Duplex, Triplex, Fourplex", 'MultiReslNoNull - short fields'!AG:AG,5)</f>
        <v>12</v>
      </c>
      <c r="V37" s="105">
        <f>SUMIFS('MultiReslNoNull - short fields'!AJ:AJ,'MultiReslNoNull - short fields'!AK:AK, "SLR not in FZ", 'MultiReslNoNull - short fields'!Z:Z, "Duplex, Triplex, Fourplex", 'MultiReslNoNull - short fields'!AG:AG,5)</f>
        <v>2.9797269001455464</v>
      </c>
      <c r="W37" s="113">
        <f>COUNTIFS('MultiReslNoNull - short fields'!AK:AK, "SLR not in FZ", 'MultiReslNoNull - short fields'!Z:Z, "Duplex, Triplex, Fourplex", 'MultiReslNoNull - short fields'!AG:AG, 6)</f>
        <v>15</v>
      </c>
      <c r="X37" s="112">
        <f>SUMIFS('MultiReslNoNull - short fields'!W:W,'MultiReslNoNull - short fields'!AK:AK, "SLR not in FZ", 'MultiReslNoNull - short fields'!Z:Z, "Duplex, Triplex, Fourplex", 'MultiReslNoNull - short fields'!AG:AG,6)</f>
        <v>48</v>
      </c>
      <c r="Y37" s="174">
        <f>SUMIFS('MultiReslNoNull - short fields'!AJ:AJ,'MultiReslNoNull - short fields'!AK:AK, "SLR not in FZ", 'MultiReslNoNull - short fields'!Z:Z, "Duplex, Triplex, Fourplex", 'MultiReslNoNull - short fields'!AG:AG,6)</f>
        <v>1.8617143358484849</v>
      </c>
      <c r="AC37" s="18"/>
    </row>
    <row r="38" spans="1:29">
      <c r="A38" s="178" t="s">
        <v>250</v>
      </c>
      <c r="E38" s="113">
        <f>COUNTIFS('MultiReslNoNull - short fields'!AK:AK, "SLR not in FZ", 'MultiReslNoNull - short fields'!Z:Z, "Condos, cooperatives (-1 Single Family) (-2 Rossmoor)", 'MultiReslNoNull - short fields'!AG:AG, 0)</f>
        <v>2</v>
      </c>
      <c r="F38" s="112" t="s">
        <v>26</v>
      </c>
      <c r="G38" s="173">
        <f>SUMIFS('MultiReslNoNull - short fields'!AJ:AJ,'MultiReslNoNull - short fields'!AK:AK, "SLR not in FZ", 'MultiReslNoNull - short fields'!Z:Z, "Condos, cooperatives (-1 Single Family) (-2 Rossmoor)", 'MultiReslNoNull - short fields'!AG:AG,0)</f>
        <v>5.5705630994031217E-2</v>
      </c>
      <c r="H38" s="111">
        <v>0</v>
      </c>
      <c r="I38" s="289">
        <v>0</v>
      </c>
      <c r="J38" s="173">
        <v>0</v>
      </c>
      <c r="K38" s="112">
        <v>0</v>
      </c>
      <c r="L38" s="290">
        <v>0</v>
      </c>
      <c r="M38" s="105">
        <v>0</v>
      </c>
      <c r="N38" s="113">
        <f>COUNTIFS('MultiReslNoNull - short fields'!AK:AK, "SLR not in FZ", 'MultiReslNoNull - short fields'!Z:Z, "Condos, cooperatives (-1 Single Family) (-2 Rossmoor)", 'MultiReslNoNull - short fields'!AG:AG, 3)</f>
        <v>0</v>
      </c>
      <c r="O38" s="290">
        <f>SUMIFS('MultiReslNoNull - short fields'!W:W,'MultiReslNoNull - short fields'!AK:AK, "SLR not in FZ", 'MultiReslNoNull - short fields'!Z:Z, "Condos, cooperatives (-1 Single Family) (-2 Rossmoor)", 'MultiReslNoNull - short fields'!AG:AG,3)</f>
        <v>0</v>
      </c>
      <c r="P38" s="105">
        <f>SUMIFS('MultiReslNoNull - short fields'!AJ:AJ,'MultiReslNoNull - short fields'!AK:AK, "SLR not in FZ", 'MultiReslNoNull - short fields'!Z:Z, "Condos, cooperatives (-1 Single Family) (-2 Rossmoor)", 'MultiReslNoNull - short fields'!AG:AG,3)</f>
        <v>0</v>
      </c>
      <c r="Q38" s="113">
        <f>COUNTIFS('MultiReslNoNull - short fields'!AK:AK, "SLR not in FZ", 'MultiReslNoNull - short fields'!Z:Z, "Condos, cooperatives (-1 Single Family) (-2 Rossmoor)", 'MultiReslNoNull - short fields'!AG:AG, 4)</f>
        <v>0</v>
      </c>
      <c r="R38" s="290">
        <f>SUMIFS('MultiReslNoNull - short fields'!W:W,'MultiReslNoNull - short fields'!AK:AK, "SLR not in FZ", 'MultiReslNoNull - short fields'!Z:Z, "Condos, cooperatives (-1 Single Family) (-2 Rossmoor)", 'MultiReslNoNull - short fields'!AG:AG,4)</f>
        <v>0</v>
      </c>
      <c r="S38" s="105">
        <f>SUMIFS('MultiReslNoNull - short fields'!AJ:AJ,'MultiReslNoNull - short fields'!AK:AK, "SLR not in FZ", 'MultiReslNoNull - short fields'!Z:Z, "Condos, cooperatives (-1 Single Family) (-2 Rossmoor)", 'MultiReslNoNull - short fields'!AG:AG,4)</f>
        <v>0</v>
      </c>
      <c r="T38" s="113">
        <f>COUNTIFS('MultiReslNoNull - short fields'!AK:AK, "SLR not in FZ", 'MultiReslNoNull - short fields'!Z:Z, "Condos, cooperatives (-1 Single Family) (-2 Rossmoor)", 'MultiReslNoNull - short fields'!AG:AG, 5)</f>
        <v>4</v>
      </c>
      <c r="U38" s="290" t="s">
        <v>26</v>
      </c>
      <c r="V38" s="105">
        <f>SUMIFS('MultiReslNoNull - short fields'!AJ:AJ,'MultiReslNoNull - short fields'!AK:AK, "SLR not in FZ", 'MultiReslNoNull - short fields'!Z:Z, "Condos, cooperatives (-1 Single Family) (-2 Rossmoor)", 'MultiReslNoNull - short fields'!AG:AG,5)</f>
        <v>0.39627862776515155</v>
      </c>
      <c r="W38" s="113">
        <f>COUNTIFS('MultiReslNoNull - short fields'!AK:AK, "SLR not in FZ", 'MultiReslNoNull - short fields'!Z:Z, "Condos, cooperatives (-1 Single Family) (-2 Rossmoor)", 'MultiReslNoNull - short fields'!AG:AG, 6)</f>
        <v>6</v>
      </c>
      <c r="X38" s="112" t="s">
        <v>26</v>
      </c>
      <c r="Y38" s="174">
        <f>SUMIFS('MultiReslNoNull - short fields'!AJ:AJ,'MultiReslNoNull - short fields'!AK:AK, "SLR not in FZ", 'MultiReslNoNull - short fields'!Z:Z, "Condos, cooperatives (-1 Single Family) (-2 Rossmoor)", 'MultiReslNoNull - short fields'!AG:AG,6)</f>
        <v>0.44474224228191006</v>
      </c>
      <c r="AC38" s="18"/>
    </row>
    <row r="39" spans="1:29">
      <c r="A39" s="178" t="s">
        <v>248</v>
      </c>
      <c r="E39" s="113">
        <f>COUNTIFS('MultiReslNoNull - short fields'!AK:AK, "SLR not in FZ", 'MultiReslNoNull - short fields'!Z:Z, "Vacant Multi Family", 'MultiReslNoNull - short fields'!AG:AG, 0)</f>
        <v>2</v>
      </c>
      <c r="F39" s="112">
        <v>0</v>
      </c>
      <c r="G39" s="173">
        <f>SUMIFS('MultiReslNoNull - short fields'!AJ:AJ,'MultiReslNoNull - short fields'!AK:AK, "SLR not in FZ", 'MultiReslNoNull - short fields'!Z:Z, "Vacant Multi Family", 'MultiReslNoNull - short fields'!AG:AG,0)</f>
        <v>0.36216004317194672</v>
      </c>
      <c r="H39" s="111">
        <v>0</v>
      </c>
      <c r="I39" s="289">
        <v>0</v>
      </c>
      <c r="J39" s="173">
        <v>0</v>
      </c>
      <c r="K39" s="112">
        <v>0</v>
      </c>
      <c r="L39" s="290">
        <v>0</v>
      </c>
      <c r="M39" s="105">
        <v>0</v>
      </c>
      <c r="N39" s="113">
        <f>COUNTIFS('MultiReslNoNull - short fields'!AK:AK, "SLR not in FZ", 'MultiReslNoNull - short fields'!Z:Z, "Vacant Multi Family", 'MultiReslNoNull - short fields'!AG:AG, 3)</f>
        <v>0</v>
      </c>
      <c r="O39" s="290">
        <f>SUMIFS('MultiReslNoNull - short fields'!W:W,'MultiReslNoNull - short fields'!AK:AK, "SLR not in FZ", 'MultiReslNoNull - short fields'!Z:Z, "Vacant Multi Family", 'MultiReslNoNull - short fields'!AG:AG,3)</f>
        <v>0</v>
      </c>
      <c r="P39" s="105">
        <f>SUMIFS('MultiReslNoNull - short fields'!AJ:AJ,'MultiReslNoNull - short fields'!AK:AK, "SLR not in FZ", 'MultiReslNoNull - short fields'!Z:Z, "Vacant Multi Family", 'MultiReslNoNull - short fields'!AG:AG,3)</f>
        <v>0</v>
      </c>
      <c r="Q39" s="113">
        <f>COUNTIFS('MultiReslNoNull - short fields'!AK:AK, "SLR not in FZ", 'MultiReslNoNull - short fields'!Z:Z, "Vacant Multi Family", 'MultiReslNoNull - short fields'!AG:AG, 4)</f>
        <v>0</v>
      </c>
      <c r="R39" s="290">
        <f>SUMIFS('MultiReslNoNull - short fields'!W:W,'MultiReslNoNull - short fields'!AK:AK, "SLR not in FZ", 'MultiReslNoNull - short fields'!Z:Z, "Vacant Multi Family", 'MultiReslNoNull - short fields'!AG:AG,4)</f>
        <v>0</v>
      </c>
      <c r="S39" s="105">
        <f>SUMIFS('MultiReslNoNull - short fields'!AJ:AJ,'MultiReslNoNull - short fields'!AK:AK, "SLR not in FZ", 'MultiReslNoNull - short fields'!Z:Z, "Vacant Multi Family", 'MultiReslNoNull - short fields'!AG:AG,4)</f>
        <v>0</v>
      </c>
      <c r="T39" s="113">
        <f>COUNTIFS('MultiReslNoNull - short fields'!AK:AK, "SLR not in FZ", 'MultiReslNoNull - short fields'!Z:Z, "Vacant Multi Family", 'MultiReslNoNull - short fields'!AG:AG, 5)</f>
        <v>0</v>
      </c>
      <c r="U39" s="290">
        <f>SUMIFS('MultiReslNoNull - short fields'!W:W,'MultiReslNoNull - short fields'!AK:AK, "SLR not in FZ", 'MultiReslNoNull - short fields'!Z:Z, "Vacant Multi Family", 'MultiReslNoNull - short fields'!AG:AG,5)</f>
        <v>0</v>
      </c>
      <c r="V39" s="105">
        <f>SUMIFS('MultiReslNoNull - short fields'!AJ:AJ,'MultiReslNoNull - short fields'!AK:AK, "SLR not in FZ", 'MultiReslNoNull - short fields'!Z:Z, "Vacant Multi Family", 'MultiReslNoNull - short fields'!AG:AG,5)</f>
        <v>0</v>
      </c>
      <c r="W39" s="113">
        <f>COUNTIFS('MultiReslNoNull - short fields'!AK:AK, "SLR not in FZ", 'MultiReslNoNull - short fields'!Z:Z, "Vacant Multi Family", 'MultiReslNoNull - short fields'!AG:AG, 6)</f>
        <v>0</v>
      </c>
      <c r="X39" s="112">
        <f>SUMIFS('MultiReslNoNull - short fields'!W:W,'MultiReslNoNull - short fields'!AK:AK, "SLR not in FZ", 'MultiReslNoNull - short fields'!Z:Z, "Vacant Multi Family", 'MultiReslNoNull - short fields'!AG:AG,6)</f>
        <v>0</v>
      </c>
      <c r="Y39" s="174">
        <f>SUMIFS('MultiReslNoNull - short fields'!AJ:AJ,'MultiReslNoNull - short fields'!AK:AK, "SLR not in FZ", 'MultiReslNoNull - short fields'!Z:Z, "Vacant Multi Family", 'MultiReslNoNull - short fields'!AG:AG,6)</f>
        <v>0</v>
      </c>
      <c r="AC39" s="18"/>
    </row>
    <row r="40" spans="1:29">
      <c r="A40" s="180" t="s">
        <v>19</v>
      </c>
      <c r="E40" s="116">
        <f t="shared" ref="E40:Y40" si="4">SUM(E36:E39)</f>
        <v>5</v>
      </c>
      <c r="F40" s="117">
        <f t="shared" si="4"/>
        <v>2</v>
      </c>
      <c r="G40" s="181">
        <f t="shared" si="4"/>
        <v>0.64917254545615244</v>
      </c>
      <c r="H40" s="116">
        <f t="shared" si="4"/>
        <v>0</v>
      </c>
      <c r="I40" s="116">
        <f t="shared" si="4"/>
        <v>0</v>
      </c>
      <c r="J40" s="181">
        <f t="shared" si="4"/>
        <v>0</v>
      </c>
      <c r="K40" s="116">
        <f t="shared" si="4"/>
        <v>0</v>
      </c>
      <c r="L40" s="117">
        <f t="shared" si="4"/>
        <v>0</v>
      </c>
      <c r="M40" s="115">
        <f t="shared" si="4"/>
        <v>0</v>
      </c>
      <c r="N40" s="116">
        <f t="shared" si="4"/>
        <v>3</v>
      </c>
      <c r="O40" s="117">
        <f t="shared" si="4"/>
        <v>7</v>
      </c>
      <c r="P40" s="115">
        <f t="shared" si="4"/>
        <v>0.48889328041000923</v>
      </c>
      <c r="Q40" s="116">
        <f t="shared" si="4"/>
        <v>1</v>
      </c>
      <c r="R40" s="117">
        <f t="shared" si="4"/>
        <v>100</v>
      </c>
      <c r="S40" s="115">
        <f t="shared" si="4"/>
        <v>12.307467189439851</v>
      </c>
      <c r="T40" s="116">
        <f t="shared" si="4"/>
        <v>11</v>
      </c>
      <c r="U40" s="117">
        <f t="shared" si="4"/>
        <v>67</v>
      </c>
      <c r="V40" s="115">
        <f t="shared" si="4"/>
        <v>4.6029044139745183</v>
      </c>
      <c r="W40" s="116">
        <f t="shared" si="4"/>
        <v>24</v>
      </c>
      <c r="X40" s="117">
        <f t="shared" si="4"/>
        <v>71</v>
      </c>
      <c r="Y40" s="182">
        <f t="shared" si="4"/>
        <v>3.2803808226565661</v>
      </c>
      <c r="AC40" s="18"/>
    </row>
    <row r="41" spans="1:29">
      <c r="H41" s="4"/>
      <c r="I41" s="139"/>
      <c r="J41" s="139"/>
      <c r="K41" s="60"/>
      <c r="V41" s="2"/>
      <c r="Y41" s="140"/>
    </row>
    <row r="42" spans="1:29">
      <c r="H42" s="4"/>
      <c r="I42" s="139"/>
      <c r="J42" s="139"/>
      <c r="K42" s="60"/>
      <c r="V42" s="2"/>
      <c r="Y42" s="140"/>
    </row>
    <row r="43" spans="1:29">
      <c r="A43" s="35" t="s">
        <v>20</v>
      </c>
      <c r="H43" s="4"/>
      <c r="I43" s="139"/>
      <c r="J43" s="139"/>
      <c r="K43" s="60"/>
      <c r="V43" s="2"/>
      <c r="Y43" s="140"/>
    </row>
    <row r="44" spans="1:29">
      <c r="A44" s="38"/>
      <c r="H44" s="106" t="s">
        <v>57</v>
      </c>
      <c r="I44" s="291"/>
      <c r="J44" s="289"/>
      <c r="K44" s="107" t="s">
        <v>58</v>
      </c>
      <c r="L44" s="292"/>
      <c r="M44" s="293"/>
      <c r="N44" s="106" t="s">
        <v>59</v>
      </c>
      <c r="O44" s="292"/>
      <c r="P44" s="293"/>
      <c r="Q44" s="106" t="s">
        <v>60</v>
      </c>
      <c r="R44" s="292"/>
      <c r="S44" s="293"/>
      <c r="T44" s="106" t="s">
        <v>61</v>
      </c>
      <c r="U44" s="292"/>
      <c r="V44" s="293"/>
      <c r="W44" s="106" t="s">
        <v>62</v>
      </c>
      <c r="X44" s="107"/>
      <c r="Y44" s="174"/>
    </row>
    <row r="45" spans="1:29" s="295" customFormat="1">
      <c r="A45" s="294"/>
      <c r="C45" s="296"/>
      <c r="D45" s="297"/>
      <c r="F45" s="296"/>
      <c r="G45" s="297"/>
      <c r="H45" s="118" t="s">
        <v>50</v>
      </c>
      <c r="I45" s="298" t="s">
        <v>244</v>
      </c>
      <c r="J45" s="175" t="s">
        <v>51</v>
      </c>
      <c r="K45" s="110" t="s">
        <v>50</v>
      </c>
      <c r="L45" s="299" t="s">
        <v>244</v>
      </c>
      <c r="M45" s="109" t="s">
        <v>51</v>
      </c>
      <c r="N45" s="108" t="s">
        <v>50</v>
      </c>
      <c r="O45" s="299" t="s">
        <v>244</v>
      </c>
      <c r="P45" s="109" t="s">
        <v>51</v>
      </c>
      <c r="Q45" s="108" t="s">
        <v>50</v>
      </c>
      <c r="R45" s="299" t="s">
        <v>244</v>
      </c>
      <c r="S45" s="109" t="s">
        <v>51</v>
      </c>
      <c r="T45" s="108" t="s">
        <v>50</v>
      </c>
      <c r="U45" s="299" t="s">
        <v>244</v>
      </c>
      <c r="V45" s="109" t="s">
        <v>51</v>
      </c>
      <c r="W45" s="108" t="s">
        <v>50</v>
      </c>
      <c r="X45" s="110" t="s">
        <v>249</v>
      </c>
      <c r="Y45" s="176" t="s">
        <v>51</v>
      </c>
    </row>
    <row r="46" spans="1:29">
      <c r="A46" s="177" t="s">
        <v>245</v>
      </c>
      <c r="H46" s="113">
        <f t="shared" ref="H46:J49" si="5">H36+E36</f>
        <v>0</v>
      </c>
      <c r="I46" s="113">
        <f t="shared" si="5"/>
        <v>0</v>
      </c>
      <c r="J46" s="289">
        <f t="shared" si="5"/>
        <v>0</v>
      </c>
      <c r="K46" s="112">
        <f t="shared" ref="K46:Y49" si="6">K36+H46</f>
        <v>0</v>
      </c>
      <c r="L46" s="112">
        <f t="shared" si="6"/>
        <v>0</v>
      </c>
      <c r="M46" s="293">
        <f t="shared" si="6"/>
        <v>0</v>
      </c>
      <c r="N46" s="113">
        <f t="shared" si="6"/>
        <v>0</v>
      </c>
      <c r="O46" s="112">
        <f t="shared" si="6"/>
        <v>0</v>
      </c>
      <c r="P46" s="293">
        <f t="shared" si="6"/>
        <v>0</v>
      </c>
      <c r="Q46" s="113">
        <f t="shared" si="6"/>
        <v>1</v>
      </c>
      <c r="R46" s="112">
        <f t="shared" si="6"/>
        <v>100</v>
      </c>
      <c r="S46" s="293">
        <f t="shared" si="6"/>
        <v>12.307467189439851</v>
      </c>
      <c r="T46" s="113">
        <f t="shared" si="6"/>
        <v>3</v>
      </c>
      <c r="U46" s="112">
        <f t="shared" si="6"/>
        <v>155</v>
      </c>
      <c r="V46" s="293">
        <f t="shared" si="6"/>
        <v>13.534366075503671</v>
      </c>
      <c r="W46" s="113">
        <f t="shared" si="6"/>
        <v>6</v>
      </c>
      <c r="X46" s="112">
        <f t="shared" si="6"/>
        <v>178</v>
      </c>
      <c r="Y46" s="174">
        <f t="shared" si="6"/>
        <v>14.508290320029841</v>
      </c>
    </row>
    <row r="47" spans="1:29">
      <c r="A47" s="178" t="s">
        <v>246</v>
      </c>
      <c r="H47" s="113">
        <f t="shared" si="5"/>
        <v>1</v>
      </c>
      <c r="I47" s="113">
        <f t="shared" si="5"/>
        <v>2</v>
      </c>
      <c r="J47" s="289">
        <f t="shared" si="5"/>
        <v>0.23130687129017449</v>
      </c>
      <c r="K47" s="112">
        <f t="shared" si="6"/>
        <v>1</v>
      </c>
      <c r="L47" s="112">
        <f t="shared" si="6"/>
        <v>2</v>
      </c>
      <c r="M47" s="293">
        <f t="shared" si="6"/>
        <v>0.23130687129017449</v>
      </c>
      <c r="N47" s="113">
        <f t="shared" si="6"/>
        <v>4</v>
      </c>
      <c r="O47" s="112">
        <f t="shared" si="6"/>
        <v>9</v>
      </c>
      <c r="P47" s="293">
        <f t="shared" si="6"/>
        <v>0.7202001517001837</v>
      </c>
      <c r="Q47" s="113">
        <f t="shared" si="6"/>
        <v>4</v>
      </c>
      <c r="R47" s="112">
        <f t="shared" si="6"/>
        <v>9</v>
      </c>
      <c r="S47" s="293">
        <f t="shared" si="6"/>
        <v>0.7202001517001837</v>
      </c>
      <c r="T47" s="113">
        <f t="shared" si="6"/>
        <v>9</v>
      </c>
      <c r="U47" s="112">
        <f t="shared" si="6"/>
        <v>21</v>
      </c>
      <c r="V47" s="293">
        <f t="shared" si="6"/>
        <v>3.6999270518457301</v>
      </c>
      <c r="W47" s="113">
        <f t="shared" si="6"/>
        <v>24</v>
      </c>
      <c r="X47" s="112">
        <f t="shared" si="6"/>
        <v>69</v>
      </c>
      <c r="Y47" s="174">
        <f t="shared" si="6"/>
        <v>5.5616413876942152</v>
      </c>
    </row>
    <row r="48" spans="1:29">
      <c r="A48" s="178" t="s">
        <v>250</v>
      </c>
      <c r="H48" s="113">
        <f t="shared" si="5"/>
        <v>2</v>
      </c>
      <c r="I48" s="113" t="s">
        <v>26</v>
      </c>
      <c r="J48" s="289">
        <f t="shared" si="5"/>
        <v>5.5705630994031217E-2</v>
      </c>
      <c r="K48" s="112">
        <f t="shared" si="6"/>
        <v>2</v>
      </c>
      <c r="L48" s="112" t="s">
        <v>26</v>
      </c>
      <c r="M48" s="293">
        <f t="shared" si="6"/>
        <v>5.5705630994031217E-2</v>
      </c>
      <c r="N48" s="113">
        <f t="shared" si="6"/>
        <v>2</v>
      </c>
      <c r="O48" s="112" t="s">
        <v>26</v>
      </c>
      <c r="P48" s="293">
        <f t="shared" si="6"/>
        <v>5.5705630994031217E-2</v>
      </c>
      <c r="Q48" s="113">
        <f t="shared" si="6"/>
        <v>2</v>
      </c>
      <c r="R48" s="112" t="s">
        <v>26</v>
      </c>
      <c r="S48" s="293">
        <f t="shared" si="6"/>
        <v>5.5705630994031217E-2</v>
      </c>
      <c r="T48" s="113">
        <f t="shared" si="6"/>
        <v>6</v>
      </c>
      <c r="U48" s="112" t="s">
        <v>26</v>
      </c>
      <c r="V48" s="293">
        <f t="shared" si="6"/>
        <v>0.45198425875918274</v>
      </c>
      <c r="W48" s="113">
        <f t="shared" si="6"/>
        <v>12</v>
      </c>
      <c r="X48" s="112" t="s">
        <v>26</v>
      </c>
      <c r="Y48" s="174">
        <f t="shared" si="6"/>
        <v>0.89672650104109275</v>
      </c>
    </row>
    <row r="49" spans="1:25">
      <c r="A49" s="178" t="s">
        <v>248</v>
      </c>
      <c r="H49" s="113">
        <f t="shared" si="5"/>
        <v>2</v>
      </c>
      <c r="I49" s="113">
        <f t="shared" si="5"/>
        <v>0</v>
      </c>
      <c r="J49" s="289">
        <f t="shared" si="5"/>
        <v>0.36216004317194672</v>
      </c>
      <c r="K49" s="112">
        <f t="shared" si="6"/>
        <v>2</v>
      </c>
      <c r="L49" s="112">
        <f t="shared" si="6"/>
        <v>0</v>
      </c>
      <c r="M49" s="293">
        <f t="shared" si="6"/>
        <v>0.36216004317194672</v>
      </c>
      <c r="N49" s="113">
        <f t="shared" si="6"/>
        <v>2</v>
      </c>
      <c r="O49" s="112">
        <f t="shared" si="6"/>
        <v>0</v>
      </c>
      <c r="P49" s="293">
        <f t="shared" si="6"/>
        <v>0.36216004317194672</v>
      </c>
      <c r="Q49" s="113">
        <f t="shared" si="6"/>
        <v>2</v>
      </c>
      <c r="R49" s="112">
        <f t="shared" si="6"/>
        <v>0</v>
      </c>
      <c r="S49" s="293">
        <f t="shared" si="6"/>
        <v>0.36216004317194672</v>
      </c>
      <c r="T49" s="113">
        <f t="shared" si="6"/>
        <v>2</v>
      </c>
      <c r="U49" s="112">
        <f t="shared" si="6"/>
        <v>0</v>
      </c>
      <c r="V49" s="293">
        <f t="shared" si="6"/>
        <v>0.36216004317194672</v>
      </c>
      <c r="W49" s="113">
        <f t="shared" si="6"/>
        <v>2</v>
      </c>
      <c r="X49" s="112">
        <f t="shared" si="6"/>
        <v>0</v>
      </c>
      <c r="Y49" s="174">
        <f t="shared" si="6"/>
        <v>0.36216004317194672</v>
      </c>
    </row>
    <row r="50" spans="1:25">
      <c r="A50" s="180" t="s">
        <v>19</v>
      </c>
      <c r="H50" s="116">
        <f t="shared" ref="H50:Y50" si="7">SUM(H46:H49)</f>
        <v>5</v>
      </c>
      <c r="I50" s="116">
        <f t="shared" si="7"/>
        <v>2</v>
      </c>
      <c r="J50" s="300">
        <f t="shared" si="7"/>
        <v>0.64917254545615244</v>
      </c>
      <c r="K50" s="116">
        <f t="shared" si="7"/>
        <v>5</v>
      </c>
      <c r="L50" s="117">
        <f t="shared" si="7"/>
        <v>2</v>
      </c>
      <c r="M50" s="301">
        <f t="shared" si="7"/>
        <v>0.64917254545615244</v>
      </c>
      <c r="N50" s="116">
        <f t="shared" si="7"/>
        <v>8</v>
      </c>
      <c r="O50" s="117">
        <f t="shared" si="7"/>
        <v>9</v>
      </c>
      <c r="P50" s="301">
        <f t="shared" si="7"/>
        <v>1.1380658258661618</v>
      </c>
      <c r="Q50" s="116">
        <f t="shared" si="7"/>
        <v>9</v>
      </c>
      <c r="R50" s="117">
        <f t="shared" si="7"/>
        <v>109</v>
      </c>
      <c r="S50" s="301">
        <f t="shared" si="7"/>
        <v>13.445533015306014</v>
      </c>
      <c r="T50" s="116">
        <f t="shared" si="7"/>
        <v>20</v>
      </c>
      <c r="U50" s="117">
        <f t="shared" si="7"/>
        <v>176</v>
      </c>
      <c r="V50" s="301">
        <f t="shared" si="7"/>
        <v>18.048437429280533</v>
      </c>
      <c r="W50" s="116">
        <f t="shared" si="7"/>
        <v>44</v>
      </c>
      <c r="X50" s="117">
        <f t="shared" si="7"/>
        <v>247</v>
      </c>
      <c r="Y50" s="182">
        <f t="shared" si="7"/>
        <v>21.328818251937097</v>
      </c>
    </row>
    <row r="51" spans="1:25">
      <c r="A51" s="183"/>
      <c r="H51" s="4"/>
      <c r="I51" s="139"/>
      <c r="J51" s="139"/>
      <c r="K51" s="60"/>
      <c r="V51" s="2"/>
      <c r="Y51" s="140"/>
    </row>
    <row r="52" spans="1:25">
      <c r="A52" s="183"/>
      <c r="H52" s="4"/>
      <c r="I52" s="139"/>
      <c r="J52" s="139"/>
      <c r="K52" s="60"/>
      <c r="V52" s="2"/>
      <c r="Y52" s="140"/>
    </row>
    <row r="53" spans="1:25">
      <c r="A53" s="183"/>
      <c r="H53" s="4"/>
      <c r="I53" s="139"/>
      <c r="J53" s="139"/>
      <c r="K53" s="60"/>
      <c r="V53" s="2"/>
      <c r="Y53" s="140"/>
    </row>
    <row r="54" spans="1:25" s="8" customFormat="1">
      <c r="A54" s="103" t="s">
        <v>6</v>
      </c>
      <c r="C54" s="63"/>
      <c r="F54" s="63"/>
      <c r="G54" s="141"/>
      <c r="I54" s="141"/>
      <c r="J54" s="141"/>
      <c r="K54" s="63"/>
      <c r="L54" s="63"/>
      <c r="M54" s="62"/>
      <c r="O54" s="63"/>
      <c r="P54" s="62"/>
      <c r="R54" s="63"/>
      <c r="S54" s="62"/>
      <c r="U54" s="63"/>
      <c r="V54" s="62"/>
      <c r="X54" s="63"/>
      <c r="Y54" s="142"/>
    </row>
    <row r="55" spans="1:25">
      <c r="E55" s="119" t="s">
        <v>63</v>
      </c>
      <c r="F55" s="302"/>
      <c r="G55" s="184"/>
      <c r="H55" s="119" t="s">
        <v>64</v>
      </c>
      <c r="I55" s="184"/>
      <c r="J55" s="184"/>
      <c r="K55" s="121" t="s">
        <v>65</v>
      </c>
      <c r="L55" s="303"/>
      <c r="M55" s="122"/>
      <c r="N55" s="121" t="s">
        <v>66</v>
      </c>
      <c r="O55" s="303"/>
      <c r="P55" s="122"/>
      <c r="Q55" s="119" t="s">
        <v>67</v>
      </c>
      <c r="R55" s="303"/>
      <c r="S55" s="120"/>
      <c r="T55" s="119" t="s">
        <v>68</v>
      </c>
      <c r="U55" s="303"/>
      <c r="V55" s="120"/>
      <c r="W55" s="119" t="s">
        <v>69</v>
      </c>
      <c r="X55" s="302"/>
      <c r="Y55" s="185"/>
    </row>
    <row r="56" spans="1:25" s="295" customFormat="1">
      <c r="A56" s="304"/>
      <c r="C56" s="296"/>
      <c r="D56" s="297"/>
      <c r="E56" s="136" t="s">
        <v>50</v>
      </c>
      <c r="F56" s="305" t="s">
        <v>244</v>
      </c>
      <c r="G56" s="186" t="s">
        <v>51</v>
      </c>
      <c r="H56" s="123" t="s">
        <v>50</v>
      </c>
      <c r="I56" s="186" t="s">
        <v>244</v>
      </c>
      <c r="J56" s="186" t="s">
        <v>51</v>
      </c>
      <c r="K56" s="125" t="s">
        <v>50</v>
      </c>
      <c r="L56" s="305" t="s">
        <v>244</v>
      </c>
      <c r="M56" s="126" t="s">
        <v>51</v>
      </c>
      <c r="N56" s="125" t="s">
        <v>50</v>
      </c>
      <c r="O56" s="305" t="s">
        <v>244</v>
      </c>
      <c r="P56" s="126" t="s">
        <v>51</v>
      </c>
      <c r="Q56" s="123" t="s">
        <v>50</v>
      </c>
      <c r="R56" s="305" t="s">
        <v>244</v>
      </c>
      <c r="S56" s="124" t="s">
        <v>51</v>
      </c>
      <c r="T56" s="123" t="s">
        <v>50</v>
      </c>
      <c r="U56" s="305" t="s">
        <v>244</v>
      </c>
      <c r="V56" s="124" t="s">
        <v>51</v>
      </c>
      <c r="W56" s="123" t="s">
        <v>50</v>
      </c>
      <c r="X56" s="305" t="s">
        <v>244</v>
      </c>
      <c r="Y56" s="187" t="s">
        <v>51</v>
      </c>
    </row>
    <row r="57" spans="1:25">
      <c r="A57" s="177" t="s">
        <v>245</v>
      </c>
      <c r="E57" s="136">
        <v>0</v>
      </c>
      <c r="F57" s="276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276">
        <v>0</v>
      </c>
      <c r="M57" s="128">
        <v>0</v>
      </c>
      <c r="N57" s="128">
        <v>0</v>
      </c>
      <c r="O57" s="276">
        <v>0</v>
      </c>
      <c r="P57" s="128">
        <v>0</v>
      </c>
      <c r="Q57" s="128">
        <v>0</v>
      </c>
      <c r="R57" s="276">
        <v>0</v>
      </c>
      <c r="S57" s="128">
        <v>0</v>
      </c>
      <c r="T57" s="128">
        <v>0</v>
      </c>
      <c r="U57" s="276">
        <v>0</v>
      </c>
      <c r="V57" s="128">
        <v>0</v>
      </c>
      <c r="W57" s="128">
        <f>COUNTIFS('MultiReslNoNull - short fields'!AK:AK, "SLR Adjacent", 'MultiReslNoNull - short fields'!Z:Z, "Apartments", 'MultiReslNoNull - short fields'!AH:AH, 6)</f>
        <v>9</v>
      </c>
      <c r="X57" s="276">
        <f>SUMIFS('MultiReslNoNull - short fields'!W:W,'MultiReslNoNull - short fields'!AK:AK,"SLR Adjacent", 'MultiReslNoNull - short fields'!Z:Z, "Apartments", 'MultiReslNoNull - short fields'!AH:AH,6)</f>
        <v>62</v>
      </c>
      <c r="Y57" s="188">
        <f>SUMIFS('MultiReslNoNull - short fields'!AJ:AJ,'MultiReslNoNull - short fields'!AK:AK,"SLR Adjacent", 'MultiReslNoNull - short fields'!Z:Z, "Apartments", 'MultiReslNoNull - short fields'!AH:AH,6)</f>
        <v>1.7706126065748393</v>
      </c>
    </row>
    <row r="58" spans="1:25">
      <c r="A58" s="178" t="s">
        <v>246</v>
      </c>
      <c r="E58" s="136">
        <v>0</v>
      </c>
      <c r="F58" s="276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276">
        <v>0</v>
      </c>
      <c r="M58" s="128">
        <v>0</v>
      </c>
      <c r="N58" s="128">
        <v>0</v>
      </c>
      <c r="O58" s="276">
        <v>0</v>
      </c>
      <c r="P58" s="128">
        <v>0</v>
      </c>
      <c r="Q58" s="128">
        <v>0</v>
      </c>
      <c r="R58" s="276">
        <v>0</v>
      </c>
      <c r="S58" s="128">
        <v>0</v>
      </c>
      <c r="T58" s="128">
        <v>0</v>
      </c>
      <c r="U58" s="276">
        <v>0</v>
      </c>
      <c r="V58" s="128">
        <v>0</v>
      </c>
      <c r="W58" s="128">
        <f>COUNTIFS('MultiReslNoNull - short fields'!AK:AK, "SLR Adjacent", 'MultiReslNoNull - short fields'!Z:Z, "Duplex, Triplex, Fourplex", 'MultiReslNoNull - short fields'!AH:AH, 6)</f>
        <v>53</v>
      </c>
      <c r="X58" s="276">
        <f>SUMIFS('MultiReslNoNull - short fields'!W:W,'MultiReslNoNull - short fields'!AK:AK,"SLR Adjacent", 'MultiReslNoNull - short fields'!Z:Z, "Duplex, Triplex, Fourplex", 'MultiReslNoNull - short fields'!AH:AH,6)</f>
        <v>134</v>
      </c>
      <c r="Y58" s="188">
        <f>SUMIFS('MultiReslNoNull - short fields'!AJ:AJ,'MultiReslNoNull - short fields'!AK:AK,"SLR Adjacent", 'MultiReslNoNull - short fields'!Z:Z, "Duplex, Triplex, Fourplex", 'MultiReslNoNull - short fields'!AH:AH,6)</f>
        <v>6.0500629548464193</v>
      </c>
    </row>
    <row r="59" spans="1:25">
      <c r="A59" s="178" t="s">
        <v>250</v>
      </c>
      <c r="E59" s="136">
        <v>0</v>
      </c>
      <c r="F59" s="276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276">
        <v>0</v>
      </c>
      <c r="M59" s="128">
        <v>0</v>
      </c>
      <c r="N59" s="128">
        <v>0</v>
      </c>
      <c r="O59" s="276">
        <v>0</v>
      </c>
      <c r="P59" s="128">
        <v>0</v>
      </c>
      <c r="Q59" s="128">
        <v>0</v>
      </c>
      <c r="R59" s="276">
        <v>0</v>
      </c>
      <c r="S59" s="128">
        <v>0</v>
      </c>
      <c r="T59" s="128">
        <v>0</v>
      </c>
      <c r="U59" s="276">
        <v>0</v>
      </c>
      <c r="V59" s="128">
        <v>0</v>
      </c>
      <c r="W59" s="128">
        <f>COUNTIFS('MultiReslNoNull - short fields'!AK:AK, "SLR Adjacent", 'MultiReslNoNull - short fields'!Z:Z, "Condos, cooperatives (-1 Single Family) (-2 Rossmoor)", 'MultiReslNoNull - short fields'!AH:AH, 6)</f>
        <v>2</v>
      </c>
      <c r="X59" s="276" t="s">
        <v>26</v>
      </c>
      <c r="Y59" s="188">
        <f>SUMIFS('MultiReslNoNull - short fields'!AJ:AJ,'MultiReslNoNull - short fields'!AK:AK,"SLR Adjacent", 'MultiReslNoNull - short fields'!Z:Z, "Condos, cooperatives (-1 Single Family) (-2 Rossmoor)", 'MultiReslNoNull - short fields'!AH:AH,6)</f>
        <v>40.202799325555347</v>
      </c>
    </row>
    <row r="60" spans="1:25">
      <c r="A60" s="178" t="s">
        <v>248</v>
      </c>
      <c r="E60" s="136">
        <v>0</v>
      </c>
      <c r="F60" s="276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276">
        <v>0</v>
      </c>
      <c r="M60" s="128">
        <v>0</v>
      </c>
      <c r="N60" s="128">
        <v>0</v>
      </c>
      <c r="O60" s="276">
        <v>0</v>
      </c>
      <c r="P60" s="128">
        <v>0</v>
      </c>
      <c r="Q60" s="128">
        <v>0</v>
      </c>
      <c r="R60" s="276">
        <v>0</v>
      </c>
      <c r="S60" s="128">
        <v>0</v>
      </c>
      <c r="T60" s="128">
        <v>0</v>
      </c>
      <c r="U60" s="276">
        <v>0</v>
      </c>
      <c r="V60" s="128">
        <v>0</v>
      </c>
      <c r="W60" s="128">
        <f>COUNTIFS('MultiReslNoNull - short fields'!AK:AK, "SLR Adjacent", 'MultiReslNoNull - short fields'!Z:Z, "Vacant Multi Family", 'MultiReslNoNull - short fields'!AH:AH, 6)</f>
        <v>9</v>
      </c>
      <c r="X60" s="276">
        <f>SUMIFS('MultiReslNoNull - short fields'!W:W,'MultiReslNoNull - short fields'!AK:AK,"SLR Adjacent", 'MultiReslNoNull - short fields'!Z:Z, "Vacant Multi Family", 'MultiReslNoNull - short fields'!AH:AH,6)</f>
        <v>0</v>
      </c>
      <c r="Y60" s="188">
        <f>SUMIFS('MultiReslNoNull - short fields'!AJ:AJ,'MultiReslNoNull - short fields'!AK:AK,"SLR Adjacent", 'MultiReslNoNull - short fields'!Z:Z, "Vacant Multi Family", 'MultiReslNoNull - short fields'!AH:AH,6)</f>
        <v>1.4409992154189621</v>
      </c>
    </row>
    <row r="61" spans="1:25">
      <c r="A61" s="180" t="s">
        <v>19</v>
      </c>
      <c r="E61" s="137">
        <f t="shared" ref="E61:Y61" si="8">SUM(E57:E60)</f>
        <v>0</v>
      </c>
      <c r="F61" s="306">
        <f t="shared" si="8"/>
        <v>0</v>
      </c>
      <c r="G61" s="190">
        <f t="shared" si="8"/>
        <v>0</v>
      </c>
      <c r="H61" s="134">
        <f t="shared" si="8"/>
        <v>0</v>
      </c>
      <c r="I61" s="134">
        <f t="shared" si="8"/>
        <v>0</v>
      </c>
      <c r="J61" s="190">
        <f t="shared" si="8"/>
        <v>0</v>
      </c>
      <c r="K61" s="134">
        <f t="shared" si="8"/>
        <v>0</v>
      </c>
      <c r="L61" s="307">
        <f t="shared" si="8"/>
        <v>0</v>
      </c>
      <c r="M61" s="135">
        <f t="shared" si="8"/>
        <v>0</v>
      </c>
      <c r="N61" s="134">
        <f t="shared" si="8"/>
        <v>0</v>
      </c>
      <c r="O61" s="307">
        <f t="shared" si="8"/>
        <v>0</v>
      </c>
      <c r="P61" s="135">
        <f t="shared" si="8"/>
        <v>0</v>
      </c>
      <c r="Q61" s="134">
        <f t="shared" si="8"/>
        <v>0</v>
      </c>
      <c r="R61" s="307">
        <f t="shared" si="8"/>
        <v>0</v>
      </c>
      <c r="S61" s="135">
        <f t="shared" si="8"/>
        <v>0</v>
      </c>
      <c r="T61" s="134">
        <f t="shared" si="8"/>
        <v>0</v>
      </c>
      <c r="U61" s="307">
        <f t="shared" si="8"/>
        <v>0</v>
      </c>
      <c r="V61" s="135">
        <f t="shared" si="8"/>
        <v>0</v>
      </c>
      <c r="W61" s="134">
        <f t="shared" si="8"/>
        <v>73</v>
      </c>
      <c r="X61" s="307">
        <f t="shared" si="8"/>
        <v>196</v>
      </c>
      <c r="Y61" s="191">
        <f t="shared" si="8"/>
        <v>49.46447410239557</v>
      </c>
    </row>
    <row r="62" spans="1:25" s="46" customFormat="1">
      <c r="A62" s="33"/>
      <c r="C62" s="308"/>
      <c r="E62" s="192"/>
      <c r="F62" s="309"/>
      <c r="G62" s="193"/>
      <c r="H62" s="192"/>
      <c r="I62" s="193"/>
      <c r="J62" s="193"/>
      <c r="K62" s="192"/>
      <c r="L62" s="309"/>
      <c r="M62" s="194"/>
      <c r="N62" s="192"/>
      <c r="O62" s="309"/>
      <c r="P62" s="194"/>
      <c r="Q62" s="192"/>
      <c r="R62" s="309"/>
      <c r="S62" s="194"/>
      <c r="T62" s="192"/>
      <c r="U62" s="309"/>
      <c r="V62" s="194"/>
      <c r="W62" s="192"/>
      <c r="X62" s="309"/>
      <c r="Y62" s="195"/>
    </row>
    <row r="63" spans="1:25">
      <c r="H63" s="4"/>
      <c r="I63" s="139"/>
      <c r="J63" s="139"/>
      <c r="K63" s="60"/>
      <c r="V63" s="2"/>
      <c r="Y63" s="140"/>
    </row>
    <row r="64" spans="1:25">
      <c r="A64" s="35" t="s">
        <v>20</v>
      </c>
      <c r="H64" s="4"/>
      <c r="I64" s="139"/>
      <c r="J64" s="139"/>
      <c r="K64" s="60"/>
      <c r="V64" s="2"/>
      <c r="Y64" s="140"/>
    </row>
    <row r="65" spans="1:25">
      <c r="A65" s="38"/>
      <c r="H65" s="119" t="s">
        <v>64</v>
      </c>
      <c r="I65" s="310"/>
      <c r="J65" s="311"/>
      <c r="K65" s="121" t="s">
        <v>65</v>
      </c>
      <c r="L65" s="312"/>
      <c r="M65" s="122"/>
      <c r="N65" s="121" t="s">
        <v>66</v>
      </c>
      <c r="O65" s="312"/>
      <c r="P65" s="122"/>
      <c r="Q65" s="119" t="s">
        <v>67</v>
      </c>
      <c r="R65" s="312"/>
      <c r="S65" s="313"/>
      <c r="T65" s="119" t="s">
        <v>68</v>
      </c>
      <c r="U65" s="312"/>
      <c r="V65" s="313"/>
      <c r="W65" s="119" t="s">
        <v>69</v>
      </c>
      <c r="X65" s="302"/>
      <c r="Y65" s="185"/>
    </row>
    <row r="66" spans="1:25">
      <c r="A66" s="38"/>
      <c r="H66" s="136" t="s">
        <v>50</v>
      </c>
      <c r="I66" s="310" t="s">
        <v>244</v>
      </c>
      <c r="J66" s="186" t="s">
        <v>51</v>
      </c>
      <c r="K66" s="125" t="s">
        <v>50</v>
      </c>
      <c r="L66" s="312" t="s">
        <v>244</v>
      </c>
      <c r="M66" s="126" t="s">
        <v>51</v>
      </c>
      <c r="N66" s="125" t="s">
        <v>50</v>
      </c>
      <c r="O66" s="312" t="s">
        <v>244</v>
      </c>
      <c r="P66" s="126" t="s">
        <v>51</v>
      </c>
      <c r="Q66" s="123" t="s">
        <v>50</v>
      </c>
      <c r="R66" s="312" t="s">
        <v>244</v>
      </c>
      <c r="S66" s="124" t="s">
        <v>51</v>
      </c>
      <c r="T66" s="123" t="s">
        <v>50</v>
      </c>
      <c r="U66" s="312" t="s">
        <v>244</v>
      </c>
      <c r="V66" s="124" t="s">
        <v>51</v>
      </c>
      <c r="W66" s="123" t="s">
        <v>50</v>
      </c>
      <c r="X66" s="305" t="s">
        <v>244</v>
      </c>
      <c r="Y66" s="187" t="s">
        <v>51</v>
      </c>
    </row>
    <row r="67" spans="1:25">
      <c r="A67" s="177" t="s">
        <v>245</v>
      </c>
      <c r="H67" s="136">
        <f t="shared" ref="H67:J70" si="9">H57+E57</f>
        <v>0</v>
      </c>
      <c r="I67" s="136">
        <f t="shared" si="9"/>
        <v>0</v>
      </c>
      <c r="J67" s="196">
        <f t="shared" si="9"/>
        <v>0</v>
      </c>
      <c r="K67" s="125">
        <f t="shared" ref="K67:Y70" si="10">K57+H67</f>
        <v>0</v>
      </c>
      <c r="L67" s="314">
        <f t="shared" si="10"/>
        <v>0</v>
      </c>
      <c r="M67" s="126">
        <f t="shared" si="10"/>
        <v>0</v>
      </c>
      <c r="N67" s="125">
        <f t="shared" si="10"/>
        <v>0</v>
      </c>
      <c r="O67" s="314">
        <f t="shared" si="10"/>
        <v>0</v>
      </c>
      <c r="P67" s="126">
        <f t="shared" si="10"/>
        <v>0</v>
      </c>
      <c r="Q67" s="128">
        <f t="shared" si="10"/>
        <v>0</v>
      </c>
      <c r="R67" s="276">
        <f t="shared" si="10"/>
        <v>0</v>
      </c>
      <c r="S67" s="129">
        <f t="shared" si="10"/>
        <v>0</v>
      </c>
      <c r="T67" s="128">
        <f t="shared" si="10"/>
        <v>0</v>
      </c>
      <c r="U67" s="276">
        <f t="shared" si="10"/>
        <v>0</v>
      </c>
      <c r="V67" s="129">
        <f t="shared" si="10"/>
        <v>0</v>
      </c>
      <c r="W67" s="128">
        <f t="shared" si="10"/>
        <v>9</v>
      </c>
      <c r="X67" s="276">
        <f t="shared" si="10"/>
        <v>62</v>
      </c>
      <c r="Y67" s="188">
        <f t="shared" si="10"/>
        <v>1.7706126065748393</v>
      </c>
    </row>
    <row r="68" spans="1:25">
      <c r="A68" s="178" t="s">
        <v>246</v>
      </c>
      <c r="H68" s="136">
        <f t="shared" si="9"/>
        <v>0</v>
      </c>
      <c r="I68" s="136">
        <f t="shared" si="9"/>
        <v>0</v>
      </c>
      <c r="J68" s="196">
        <f t="shared" si="9"/>
        <v>0</v>
      </c>
      <c r="K68" s="125">
        <f t="shared" si="10"/>
        <v>0</v>
      </c>
      <c r="L68" s="314">
        <f t="shared" si="10"/>
        <v>0</v>
      </c>
      <c r="M68" s="126">
        <f t="shared" si="10"/>
        <v>0</v>
      </c>
      <c r="N68" s="125">
        <f t="shared" si="10"/>
        <v>0</v>
      </c>
      <c r="O68" s="314">
        <f t="shared" si="10"/>
        <v>0</v>
      </c>
      <c r="P68" s="126">
        <f t="shared" si="10"/>
        <v>0</v>
      </c>
      <c r="Q68" s="128">
        <f t="shared" si="10"/>
        <v>0</v>
      </c>
      <c r="R68" s="276">
        <f t="shared" si="10"/>
        <v>0</v>
      </c>
      <c r="S68" s="129">
        <f t="shared" si="10"/>
        <v>0</v>
      </c>
      <c r="T68" s="128">
        <f t="shared" si="10"/>
        <v>0</v>
      </c>
      <c r="U68" s="276">
        <f t="shared" si="10"/>
        <v>0</v>
      </c>
      <c r="V68" s="129">
        <f t="shared" si="10"/>
        <v>0</v>
      </c>
      <c r="W68" s="128">
        <f t="shared" si="10"/>
        <v>53</v>
      </c>
      <c r="X68" s="276">
        <f t="shared" si="10"/>
        <v>134</v>
      </c>
      <c r="Y68" s="188">
        <f t="shared" si="10"/>
        <v>6.0500629548464193</v>
      </c>
    </row>
    <row r="69" spans="1:25">
      <c r="A69" s="178" t="s">
        <v>250</v>
      </c>
      <c r="H69" s="136">
        <f t="shared" si="9"/>
        <v>0</v>
      </c>
      <c r="I69" s="136">
        <f t="shared" si="9"/>
        <v>0</v>
      </c>
      <c r="J69" s="196">
        <f t="shared" si="9"/>
        <v>0</v>
      </c>
      <c r="K69" s="125">
        <f t="shared" si="10"/>
        <v>0</v>
      </c>
      <c r="L69" s="314">
        <f t="shared" si="10"/>
        <v>0</v>
      </c>
      <c r="M69" s="126">
        <f t="shared" si="10"/>
        <v>0</v>
      </c>
      <c r="N69" s="125">
        <f t="shared" si="10"/>
        <v>0</v>
      </c>
      <c r="O69" s="314">
        <f t="shared" si="10"/>
        <v>0</v>
      </c>
      <c r="P69" s="126">
        <f t="shared" si="10"/>
        <v>0</v>
      </c>
      <c r="Q69" s="128">
        <f t="shared" si="10"/>
        <v>0</v>
      </c>
      <c r="R69" s="276">
        <f t="shared" si="10"/>
        <v>0</v>
      </c>
      <c r="S69" s="129">
        <f t="shared" si="10"/>
        <v>0</v>
      </c>
      <c r="T69" s="128">
        <f t="shared" si="10"/>
        <v>0</v>
      </c>
      <c r="U69" s="276">
        <f t="shared" si="10"/>
        <v>0</v>
      </c>
      <c r="V69" s="129">
        <f t="shared" si="10"/>
        <v>0</v>
      </c>
      <c r="W69" s="128">
        <f t="shared" si="10"/>
        <v>2</v>
      </c>
      <c r="X69" s="276" t="s">
        <v>26</v>
      </c>
      <c r="Y69" s="188">
        <f t="shared" si="10"/>
        <v>40.202799325555347</v>
      </c>
    </row>
    <row r="70" spans="1:25">
      <c r="A70" s="178" t="s">
        <v>248</v>
      </c>
      <c r="H70" s="136">
        <f t="shared" si="9"/>
        <v>0</v>
      </c>
      <c r="I70" s="136">
        <f t="shared" si="9"/>
        <v>0</v>
      </c>
      <c r="J70" s="196">
        <f t="shared" si="9"/>
        <v>0</v>
      </c>
      <c r="K70" s="125">
        <f t="shared" si="10"/>
        <v>0</v>
      </c>
      <c r="L70" s="314">
        <f t="shared" si="10"/>
        <v>0</v>
      </c>
      <c r="M70" s="315">
        <f t="shared" si="10"/>
        <v>0</v>
      </c>
      <c r="N70" s="198">
        <f t="shared" si="10"/>
        <v>0</v>
      </c>
      <c r="O70" s="316">
        <f t="shared" si="10"/>
        <v>0</v>
      </c>
      <c r="P70" s="315">
        <f t="shared" si="10"/>
        <v>0</v>
      </c>
      <c r="Q70" s="136">
        <f t="shared" si="10"/>
        <v>0</v>
      </c>
      <c r="R70" s="317">
        <f t="shared" si="10"/>
        <v>0</v>
      </c>
      <c r="S70" s="124">
        <f t="shared" si="10"/>
        <v>0</v>
      </c>
      <c r="T70" s="136">
        <f t="shared" si="10"/>
        <v>0</v>
      </c>
      <c r="U70" s="317">
        <f t="shared" si="10"/>
        <v>0</v>
      </c>
      <c r="V70" s="124">
        <f t="shared" si="10"/>
        <v>0</v>
      </c>
      <c r="W70" s="136">
        <f t="shared" si="10"/>
        <v>9</v>
      </c>
      <c r="X70" s="317">
        <f t="shared" si="10"/>
        <v>0</v>
      </c>
      <c r="Y70" s="200">
        <f t="shared" si="10"/>
        <v>1.4409992154189621</v>
      </c>
    </row>
    <row r="71" spans="1:25">
      <c r="A71" s="180" t="s">
        <v>19</v>
      </c>
      <c r="H71" s="137">
        <f t="shared" ref="H71:V71" si="11">SUM(H67:H70)</f>
        <v>0</v>
      </c>
      <c r="I71" s="137">
        <f t="shared" si="11"/>
        <v>0</v>
      </c>
      <c r="J71" s="318">
        <f t="shared" si="11"/>
        <v>0</v>
      </c>
      <c r="K71" s="137">
        <f t="shared" si="11"/>
        <v>0</v>
      </c>
      <c r="L71" s="306">
        <f t="shared" si="11"/>
        <v>0</v>
      </c>
      <c r="M71" s="319">
        <f t="shared" si="11"/>
        <v>0</v>
      </c>
      <c r="N71" s="137">
        <f t="shared" si="11"/>
        <v>0</v>
      </c>
      <c r="O71" s="306">
        <f t="shared" si="11"/>
        <v>0</v>
      </c>
      <c r="P71" s="319">
        <f t="shared" si="11"/>
        <v>0</v>
      </c>
      <c r="Q71" s="137">
        <f t="shared" si="11"/>
        <v>0</v>
      </c>
      <c r="R71" s="306">
        <f t="shared" si="11"/>
        <v>0</v>
      </c>
      <c r="S71" s="319">
        <f t="shared" si="11"/>
        <v>0</v>
      </c>
      <c r="T71" s="137">
        <f t="shared" si="11"/>
        <v>0</v>
      </c>
      <c r="U71" s="306">
        <f t="shared" si="11"/>
        <v>0</v>
      </c>
      <c r="V71" s="319">
        <f t="shared" si="11"/>
        <v>0</v>
      </c>
      <c r="W71" s="137">
        <f>SUM(W67:W70)</f>
        <v>73</v>
      </c>
      <c r="X71" s="306">
        <f>SUM(X67:X70)</f>
        <v>196</v>
      </c>
      <c r="Y71" s="202">
        <f>SUM(Y67:Y70)</f>
        <v>49.46447410239557</v>
      </c>
    </row>
    <row r="72" spans="1:25">
      <c r="E72" s="60"/>
      <c r="G72" s="2"/>
      <c r="H72" s="4"/>
      <c r="I72" s="2"/>
      <c r="S72" s="140"/>
      <c r="V72" s="2"/>
      <c r="Y72" s="4"/>
    </row>
    <row r="74" spans="1:25">
      <c r="A74" s="15" t="s">
        <v>251</v>
      </c>
    </row>
    <row r="75" spans="1:25">
      <c r="A75" s="15" t="s">
        <v>252</v>
      </c>
    </row>
    <row r="76" spans="1:25" s="12" customFormat="1" ht="42">
      <c r="A76" s="320" t="s">
        <v>253</v>
      </c>
      <c r="C76" s="64"/>
      <c r="D76" s="143"/>
      <c r="F76" s="64"/>
      <c r="G76" s="143"/>
      <c r="H76" s="64"/>
      <c r="I76" s="64"/>
      <c r="J76" s="10"/>
      <c r="L76" s="64"/>
      <c r="M76" s="10"/>
      <c r="O76" s="64"/>
      <c r="P76" s="10"/>
      <c r="R76" s="64"/>
      <c r="S76" s="10"/>
      <c r="U76" s="64"/>
      <c r="V76" s="144"/>
      <c r="X76" s="64"/>
      <c r="Y76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0"/>
  <sheetViews>
    <sheetView topLeftCell="A154" workbookViewId="0">
      <pane xSplit="1" topLeftCell="U1" activePane="topRight" state="frozen"/>
      <selection activeCell="A39" sqref="A39"/>
      <selection pane="topRight" activeCell="A39" sqref="A39"/>
    </sheetView>
  </sheetViews>
  <sheetFormatPr baseColWidth="10" defaultColWidth="8.83203125" defaultRowHeight="14" x14ac:dyDescent="0"/>
  <cols>
    <col min="1" max="1" width="8.33203125" style="204" bestFit="1" customWidth="1"/>
    <col min="2" max="2" width="9.6640625" style="204" customWidth="1"/>
    <col min="3" max="3" width="10.1640625" style="204" bestFit="1" customWidth="1"/>
    <col min="4" max="4" width="30.1640625" style="204" bestFit="1" customWidth="1"/>
    <col min="5" max="5" width="41" style="204" bestFit="1" customWidth="1"/>
    <col min="6" max="6" width="11.33203125" style="204" bestFit="1" customWidth="1"/>
    <col min="7" max="7" width="8.33203125" style="351" bestFit="1" customWidth="1"/>
    <col min="8" max="8" width="12.33203125" style="204" bestFit="1" customWidth="1"/>
    <col min="9" max="9" width="9.5" style="204" bestFit="1" customWidth="1"/>
    <col min="10" max="10" width="9.83203125" style="204" bestFit="1" customWidth="1"/>
    <col min="11" max="11" width="10" style="204" bestFit="1" customWidth="1"/>
    <col min="12" max="12" width="10.83203125" style="204" bestFit="1" customWidth="1"/>
    <col min="13" max="13" width="5.83203125" style="204" bestFit="1" customWidth="1"/>
    <col min="14" max="14" width="11.1640625" style="204" bestFit="1" customWidth="1"/>
    <col min="15" max="15" width="8.6640625" style="204" bestFit="1" customWidth="1"/>
    <col min="16" max="16" width="9.5" style="204" customWidth="1"/>
    <col min="17" max="17" width="4.83203125" style="204" bestFit="1" customWidth="1"/>
    <col min="18" max="18" width="10.6640625" style="204" bestFit="1" customWidth="1"/>
    <col min="19" max="19" width="11.5" style="204" bestFit="1" customWidth="1"/>
    <col min="20" max="20" width="9.6640625" style="204" bestFit="1" customWidth="1"/>
    <col min="21" max="21" width="9.1640625" style="204" bestFit="1" customWidth="1"/>
    <col min="22" max="22" width="7.33203125" style="204" bestFit="1" customWidth="1"/>
    <col min="23" max="23" width="6.83203125" style="204" bestFit="1" customWidth="1"/>
    <col min="24" max="24" width="10" style="204" bestFit="1" customWidth="1"/>
    <col min="25" max="25" width="41.33203125" style="204" bestFit="1" customWidth="1"/>
    <col min="26" max="26" width="41.33203125" style="204" customWidth="1"/>
    <col min="27" max="27" width="8.83203125" style="204" bestFit="1" customWidth="1"/>
    <col min="28" max="28" width="10.33203125" style="204" bestFit="1" customWidth="1"/>
    <col min="29" max="29" width="32.6640625" style="204" bestFit="1" customWidth="1"/>
    <col min="30" max="30" width="7.83203125" style="204" bestFit="1" customWidth="1"/>
    <col min="31" max="31" width="10" style="351" bestFit="1" customWidth="1"/>
    <col min="32" max="32" width="9" style="203" bestFit="1" customWidth="1"/>
    <col min="33" max="33" width="6.33203125" style="204" customWidth="1"/>
    <col min="34" max="34" width="7.83203125" style="204" customWidth="1"/>
    <col min="35" max="35" width="19.6640625" style="352" customWidth="1"/>
    <col min="36" max="36" width="15.33203125" style="4" customWidth="1"/>
    <col min="37" max="37" width="25.6640625" style="4" customWidth="1"/>
    <col min="38" max="16384" width="8.83203125" style="4"/>
  </cols>
  <sheetData>
    <row r="1" spans="1:37" s="32" customFormat="1">
      <c r="A1" s="321" t="s">
        <v>254</v>
      </c>
      <c r="B1" s="321" t="s">
        <v>255</v>
      </c>
      <c r="C1" s="321" t="s">
        <v>256</v>
      </c>
      <c r="D1" s="321" t="s">
        <v>257</v>
      </c>
      <c r="E1" s="321" t="s">
        <v>258</v>
      </c>
      <c r="F1" s="321" t="s">
        <v>259</v>
      </c>
      <c r="G1" s="322" t="s">
        <v>178</v>
      </c>
      <c r="H1" s="321" t="s">
        <v>260</v>
      </c>
      <c r="I1" s="321" t="s">
        <v>261</v>
      </c>
      <c r="J1" s="321" t="s">
        <v>262</v>
      </c>
      <c r="K1" s="321" t="s">
        <v>263</v>
      </c>
      <c r="L1" s="321" t="s">
        <v>264</v>
      </c>
      <c r="M1" s="321" t="s">
        <v>265</v>
      </c>
      <c r="N1" s="321" t="s">
        <v>266</v>
      </c>
      <c r="O1" s="321" t="s">
        <v>267</v>
      </c>
      <c r="P1" s="321" t="s">
        <v>268</v>
      </c>
      <c r="Q1" s="321" t="s">
        <v>269</v>
      </c>
      <c r="R1" s="321" t="s">
        <v>270</v>
      </c>
      <c r="S1" s="321" t="s">
        <v>271</v>
      </c>
      <c r="T1" s="321" t="s">
        <v>272</v>
      </c>
      <c r="U1" s="321" t="s">
        <v>273</v>
      </c>
      <c r="V1" s="321" t="s">
        <v>274</v>
      </c>
      <c r="W1" s="321" t="s">
        <v>275</v>
      </c>
      <c r="X1" s="321" t="s">
        <v>276</v>
      </c>
      <c r="Y1" s="321" t="s">
        <v>277</v>
      </c>
      <c r="Z1" s="321" t="s">
        <v>278</v>
      </c>
      <c r="AA1" s="321" t="s">
        <v>279</v>
      </c>
      <c r="AB1" s="321" t="s">
        <v>280</v>
      </c>
      <c r="AC1" s="321" t="s">
        <v>281</v>
      </c>
      <c r="AD1" s="321" t="s">
        <v>282</v>
      </c>
      <c r="AE1" s="322" t="s">
        <v>283</v>
      </c>
      <c r="AF1" s="323" t="s">
        <v>284</v>
      </c>
      <c r="AG1" s="321" t="s">
        <v>285</v>
      </c>
      <c r="AH1" s="321" t="s">
        <v>286</v>
      </c>
      <c r="AI1" s="324" t="s">
        <v>287</v>
      </c>
      <c r="AJ1" s="325" t="s">
        <v>288</v>
      </c>
      <c r="AK1" s="325" t="s">
        <v>289</v>
      </c>
    </row>
    <row r="2" spans="1:37">
      <c r="A2" s="326">
        <v>287</v>
      </c>
      <c r="B2" s="326" t="s">
        <v>290</v>
      </c>
      <c r="C2" s="326" t="s">
        <v>290</v>
      </c>
      <c r="D2" s="326" t="s">
        <v>291</v>
      </c>
      <c r="E2" s="326" t="s">
        <v>292</v>
      </c>
      <c r="F2" s="326"/>
      <c r="G2" s="327">
        <v>0</v>
      </c>
      <c r="H2" s="326" t="s">
        <v>293</v>
      </c>
      <c r="I2" s="326" t="s">
        <v>294</v>
      </c>
      <c r="J2" s="326" t="s">
        <v>295</v>
      </c>
      <c r="K2" s="326"/>
      <c r="L2" s="326" t="s">
        <v>296</v>
      </c>
      <c r="M2" s="326" t="s">
        <v>297</v>
      </c>
      <c r="N2" s="326">
        <v>50206</v>
      </c>
      <c r="O2" s="326">
        <v>190376</v>
      </c>
      <c r="P2" s="326">
        <v>0</v>
      </c>
      <c r="Q2" s="326" t="s">
        <v>298</v>
      </c>
      <c r="R2" s="326">
        <v>1</v>
      </c>
      <c r="S2" s="326">
        <v>1</v>
      </c>
      <c r="T2" s="326"/>
      <c r="U2" s="326">
        <v>0</v>
      </c>
      <c r="V2" s="326">
        <v>0</v>
      </c>
      <c r="W2" s="326">
        <v>0</v>
      </c>
      <c r="X2" s="326">
        <v>0</v>
      </c>
      <c r="Y2" s="326" t="s">
        <v>299</v>
      </c>
      <c r="Z2" s="326" t="str">
        <f t="shared" ref="Z2:Z65" si="0">IF(OR(Y2="Apartments, 5-12 units, inclusive", Y2="Apartments, 13-24 units, inclusive", Y2="Apartments, 25-59 units, inclusive", Y2="Apartments, 60 units or more"), "Apartments", IF(OR(Y2="Duplex", Y2="Triplex", Y2="Fourplex", Y2="Combinations; e.g., single and a double"),"Duplex, Triplex, Fourplex", "Vacant Multi Family"))</f>
        <v>Apartments</v>
      </c>
      <c r="AA2" s="326" t="s">
        <v>300</v>
      </c>
      <c r="AB2" s="326" t="s">
        <v>301</v>
      </c>
      <c r="AC2" s="326"/>
      <c r="AD2" s="326" t="s">
        <v>302</v>
      </c>
      <c r="AE2" s="327">
        <v>-9999</v>
      </c>
      <c r="AF2" s="328" t="s">
        <v>195</v>
      </c>
      <c r="AG2" s="326">
        <v>10</v>
      </c>
      <c r="AH2" s="326">
        <v>10</v>
      </c>
      <c r="AI2" s="329">
        <v>2932.3641195599998</v>
      </c>
      <c r="AJ2" s="330">
        <f t="shared" ref="AJ2:AJ65" si="1">AI2/43560</f>
        <v>6.7317817253443518E-2</v>
      </c>
      <c r="AK2" s="330" t="str">
        <f t="shared" ref="AK2:AK65" si="2">IF(AF2=10,IF(AG2=10,"SLR Adjacent","SLR not in FZ"),IF(AG2=10,"FZ no SLR","FZ with SLR"))</f>
        <v>FZ no SLR</v>
      </c>
    </row>
    <row r="3" spans="1:37">
      <c r="A3" s="326">
        <v>424</v>
      </c>
      <c r="B3" s="326" t="s">
        <v>303</v>
      </c>
      <c r="C3" s="326" t="s">
        <v>303</v>
      </c>
      <c r="D3" s="326" t="s">
        <v>304</v>
      </c>
      <c r="E3" s="326" t="s">
        <v>305</v>
      </c>
      <c r="F3" s="326"/>
      <c r="G3" s="327">
        <v>0</v>
      </c>
      <c r="H3" s="326" t="s">
        <v>306</v>
      </c>
      <c r="I3" s="326" t="s">
        <v>307</v>
      </c>
      <c r="J3" s="326" t="s">
        <v>308</v>
      </c>
      <c r="K3" s="326"/>
      <c r="L3" s="326" t="s">
        <v>309</v>
      </c>
      <c r="M3" s="326" t="s">
        <v>310</v>
      </c>
      <c r="N3" s="326">
        <v>75830</v>
      </c>
      <c r="O3" s="326">
        <v>162625</v>
      </c>
      <c r="P3" s="326">
        <v>0</v>
      </c>
      <c r="Q3" s="326" t="s">
        <v>298</v>
      </c>
      <c r="R3" s="326">
        <v>0</v>
      </c>
      <c r="S3" s="326">
        <v>3</v>
      </c>
      <c r="T3" s="326"/>
      <c r="U3" s="326">
        <v>0</v>
      </c>
      <c r="V3" s="326">
        <v>2</v>
      </c>
      <c r="W3" s="326">
        <v>5</v>
      </c>
      <c r="X3" s="326">
        <v>4304</v>
      </c>
      <c r="Y3" s="326" t="s">
        <v>299</v>
      </c>
      <c r="Z3" s="326" t="str">
        <f t="shared" si="0"/>
        <v>Apartments</v>
      </c>
      <c r="AA3" s="326" t="s">
        <v>300</v>
      </c>
      <c r="AB3" s="326" t="s">
        <v>301</v>
      </c>
      <c r="AC3" s="326"/>
      <c r="AD3" s="326" t="s">
        <v>302</v>
      </c>
      <c r="AE3" s="327">
        <v>-9999</v>
      </c>
      <c r="AF3" s="328" t="s">
        <v>204</v>
      </c>
      <c r="AG3" s="326">
        <v>10</v>
      </c>
      <c r="AH3" s="326">
        <v>10</v>
      </c>
      <c r="AI3" s="329">
        <v>10100.789376299999</v>
      </c>
      <c r="AJ3" s="330">
        <f t="shared" si="1"/>
        <v>0.23188221708677684</v>
      </c>
      <c r="AK3" s="330" t="str">
        <f t="shared" si="2"/>
        <v>FZ no SLR</v>
      </c>
    </row>
    <row r="4" spans="1:37">
      <c r="A4" s="326">
        <v>455</v>
      </c>
      <c r="B4" s="326" t="s">
        <v>311</v>
      </c>
      <c r="C4" s="326" t="s">
        <v>311</v>
      </c>
      <c r="D4" s="326" t="s">
        <v>312</v>
      </c>
      <c r="E4" s="326" t="s">
        <v>313</v>
      </c>
      <c r="F4" s="326"/>
      <c r="G4" s="327">
        <v>0</v>
      </c>
      <c r="H4" s="326" t="s">
        <v>314</v>
      </c>
      <c r="I4" s="326" t="s">
        <v>307</v>
      </c>
      <c r="J4" s="326" t="s">
        <v>315</v>
      </c>
      <c r="K4" s="326"/>
      <c r="L4" s="326" t="s">
        <v>309</v>
      </c>
      <c r="M4" s="326" t="s">
        <v>310</v>
      </c>
      <c r="N4" s="326">
        <v>89647</v>
      </c>
      <c r="O4" s="326">
        <v>208456</v>
      </c>
      <c r="P4" s="326">
        <v>0</v>
      </c>
      <c r="Q4" s="326" t="s">
        <v>298</v>
      </c>
      <c r="R4" s="326">
        <v>1</v>
      </c>
      <c r="S4" s="326">
        <v>1</v>
      </c>
      <c r="T4" s="326"/>
      <c r="U4" s="326">
        <v>0</v>
      </c>
      <c r="V4" s="326">
        <v>2</v>
      </c>
      <c r="W4" s="326">
        <v>5</v>
      </c>
      <c r="X4" s="326">
        <v>3686</v>
      </c>
      <c r="Y4" s="326" t="s">
        <v>299</v>
      </c>
      <c r="Z4" s="326" t="str">
        <f t="shared" si="0"/>
        <v>Apartments</v>
      </c>
      <c r="AA4" s="326" t="s">
        <v>300</v>
      </c>
      <c r="AB4" s="326" t="s">
        <v>301</v>
      </c>
      <c r="AC4" s="326"/>
      <c r="AD4" s="326" t="s">
        <v>302</v>
      </c>
      <c r="AE4" s="327">
        <v>-9999</v>
      </c>
      <c r="AF4" s="328" t="s">
        <v>204</v>
      </c>
      <c r="AG4" s="326">
        <v>10</v>
      </c>
      <c r="AH4" s="326">
        <v>10</v>
      </c>
      <c r="AI4" s="329">
        <v>5522.8148880899998</v>
      </c>
      <c r="AJ4" s="330">
        <f t="shared" si="1"/>
        <v>0.12678638402410469</v>
      </c>
      <c r="AK4" s="330" t="str">
        <f t="shared" si="2"/>
        <v>FZ no SLR</v>
      </c>
    </row>
    <row r="5" spans="1:37">
      <c r="A5" s="326">
        <v>458</v>
      </c>
      <c r="B5" s="326" t="s">
        <v>316</v>
      </c>
      <c r="C5" s="326" t="s">
        <v>316</v>
      </c>
      <c r="D5" s="326" t="s">
        <v>317</v>
      </c>
      <c r="E5" s="326" t="s">
        <v>318</v>
      </c>
      <c r="F5" s="326"/>
      <c r="G5" s="327">
        <v>0</v>
      </c>
      <c r="H5" s="326" t="s">
        <v>319</v>
      </c>
      <c r="I5" s="326" t="s">
        <v>307</v>
      </c>
      <c r="J5" s="326" t="s">
        <v>320</v>
      </c>
      <c r="K5" s="326"/>
      <c r="L5" s="326" t="s">
        <v>309</v>
      </c>
      <c r="M5" s="326" t="s">
        <v>310</v>
      </c>
      <c r="N5" s="326">
        <v>84847</v>
      </c>
      <c r="O5" s="326">
        <v>127275</v>
      </c>
      <c r="P5" s="326">
        <v>0</v>
      </c>
      <c r="Q5" s="326" t="s">
        <v>298</v>
      </c>
      <c r="R5" s="326">
        <v>1</v>
      </c>
      <c r="S5" s="326">
        <v>1</v>
      </c>
      <c r="T5" s="326"/>
      <c r="U5" s="326">
        <v>0</v>
      </c>
      <c r="V5" s="326">
        <v>1</v>
      </c>
      <c r="W5" s="326">
        <v>5</v>
      </c>
      <c r="X5" s="326">
        <v>1617</v>
      </c>
      <c r="Y5" s="326" t="s">
        <v>299</v>
      </c>
      <c r="Z5" s="326" t="str">
        <f t="shared" si="0"/>
        <v>Apartments</v>
      </c>
      <c r="AA5" s="326" t="s">
        <v>300</v>
      </c>
      <c r="AB5" s="326" t="s">
        <v>301</v>
      </c>
      <c r="AC5" s="326"/>
      <c r="AD5" s="326" t="s">
        <v>302</v>
      </c>
      <c r="AE5" s="327">
        <v>-9999</v>
      </c>
      <c r="AF5" s="328" t="s">
        <v>204</v>
      </c>
      <c r="AG5" s="326">
        <v>10</v>
      </c>
      <c r="AH5" s="326">
        <v>10</v>
      </c>
      <c r="AI5" s="329">
        <v>5000.9434670500004</v>
      </c>
      <c r="AJ5" s="330">
        <f t="shared" si="1"/>
        <v>0.11480586471648302</v>
      </c>
      <c r="AK5" s="330" t="str">
        <f t="shared" si="2"/>
        <v>FZ no SLR</v>
      </c>
    </row>
    <row r="6" spans="1:37">
      <c r="A6" s="326">
        <v>486</v>
      </c>
      <c r="B6" s="326" t="s">
        <v>321</v>
      </c>
      <c r="C6" s="326" t="s">
        <v>321</v>
      </c>
      <c r="D6" s="326" t="s">
        <v>322</v>
      </c>
      <c r="E6" s="326" t="s">
        <v>323</v>
      </c>
      <c r="F6" s="326"/>
      <c r="G6" s="327">
        <v>0</v>
      </c>
      <c r="H6" s="326" t="s">
        <v>314</v>
      </c>
      <c r="I6" s="326" t="s">
        <v>307</v>
      </c>
      <c r="J6" s="326" t="s">
        <v>324</v>
      </c>
      <c r="K6" s="326"/>
      <c r="L6" s="326" t="s">
        <v>309</v>
      </c>
      <c r="M6" s="326" t="s">
        <v>310</v>
      </c>
      <c r="N6" s="326">
        <v>165900</v>
      </c>
      <c r="O6" s="326">
        <v>332100</v>
      </c>
      <c r="P6" s="326">
        <v>0</v>
      </c>
      <c r="Q6" s="326" t="s">
        <v>298</v>
      </c>
      <c r="R6" s="326">
        <v>0</v>
      </c>
      <c r="S6" s="326">
        <v>4</v>
      </c>
      <c r="T6" s="326"/>
      <c r="U6" s="326">
        <v>0</v>
      </c>
      <c r="V6" s="326">
        <v>1</v>
      </c>
      <c r="W6" s="326">
        <v>5</v>
      </c>
      <c r="X6" s="326">
        <v>2868</v>
      </c>
      <c r="Y6" s="326" t="s">
        <v>299</v>
      </c>
      <c r="Z6" s="326" t="str">
        <f t="shared" si="0"/>
        <v>Apartments</v>
      </c>
      <c r="AA6" s="326" t="s">
        <v>300</v>
      </c>
      <c r="AB6" s="326" t="s">
        <v>301</v>
      </c>
      <c r="AC6" s="326"/>
      <c r="AD6" s="326" t="s">
        <v>302</v>
      </c>
      <c r="AE6" s="327">
        <v>-9999</v>
      </c>
      <c r="AF6" s="328" t="s">
        <v>204</v>
      </c>
      <c r="AG6" s="326">
        <v>10</v>
      </c>
      <c r="AH6" s="326">
        <v>10</v>
      </c>
      <c r="AI6" s="329">
        <v>4877.4796858099999</v>
      </c>
      <c r="AJ6" s="330">
        <f t="shared" si="1"/>
        <v>0.11197152630417814</v>
      </c>
      <c r="AK6" s="330" t="str">
        <f t="shared" si="2"/>
        <v>FZ no SLR</v>
      </c>
    </row>
    <row r="7" spans="1:37">
      <c r="A7" s="326">
        <v>420</v>
      </c>
      <c r="B7" s="326" t="s">
        <v>325</v>
      </c>
      <c r="C7" s="326" t="s">
        <v>325</v>
      </c>
      <c r="D7" s="326" t="s">
        <v>326</v>
      </c>
      <c r="E7" s="326" t="s">
        <v>327</v>
      </c>
      <c r="F7" s="326"/>
      <c r="G7" s="327">
        <v>0</v>
      </c>
      <c r="H7" s="326" t="s">
        <v>306</v>
      </c>
      <c r="I7" s="326" t="s">
        <v>307</v>
      </c>
      <c r="J7" s="326" t="s">
        <v>328</v>
      </c>
      <c r="K7" s="326"/>
      <c r="L7" s="326" t="s">
        <v>309</v>
      </c>
      <c r="M7" s="326" t="s">
        <v>310</v>
      </c>
      <c r="N7" s="326">
        <v>70234</v>
      </c>
      <c r="O7" s="326">
        <v>157866</v>
      </c>
      <c r="P7" s="326">
        <v>0</v>
      </c>
      <c r="Q7" s="326" t="s">
        <v>298</v>
      </c>
      <c r="R7" s="326">
        <v>1</v>
      </c>
      <c r="S7" s="326">
        <v>1</v>
      </c>
      <c r="T7" s="326"/>
      <c r="U7" s="326">
        <v>0</v>
      </c>
      <c r="V7" s="326">
        <v>2</v>
      </c>
      <c r="W7" s="326">
        <v>6</v>
      </c>
      <c r="X7" s="326">
        <v>4518</v>
      </c>
      <c r="Y7" s="326" t="s">
        <v>299</v>
      </c>
      <c r="Z7" s="326" t="str">
        <f t="shared" si="0"/>
        <v>Apartments</v>
      </c>
      <c r="AA7" s="326" t="s">
        <v>300</v>
      </c>
      <c r="AB7" s="326" t="s">
        <v>301</v>
      </c>
      <c r="AC7" s="326"/>
      <c r="AD7" s="326" t="s">
        <v>302</v>
      </c>
      <c r="AE7" s="327">
        <v>-9999</v>
      </c>
      <c r="AF7" s="328" t="s">
        <v>204</v>
      </c>
      <c r="AG7" s="326">
        <v>10</v>
      </c>
      <c r="AH7" s="326">
        <v>10</v>
      </c>
      <c r="AI7" s="329">
        <v>12662.1412286</v>
      </c>
      <c r="AJ7" s="330">
        <f t="shared" si="1"/>
        <v>0.29068276466023873</v>
      </c>
      <c r="AK7" s="330" t="str">
        <f t="shared" si="2"/>
        <v>FZ no SLR</v>
      </c>
    </row>
    <row r="8" spans="1:37">
      <c r="A8" s="326">
        <v>421</v>
      </c>
      <c r="B8" s="326" t="s">
        <v>329</v>
      </c>
      <c r="C8" s="326" t="s">
        <v>329</v>
      </c>
      <c r="D8" s="326" t="s">
        <v>330</v>
      </c>
      <c r="E8" s="326" t="s">
        <v>331</v>
      </c>
      <c r="F8" s="326"/>
      <c r="G8" s="327">
        <v>0</v>
      </c>
      <c r="H8" s="326" t="s">
        <v>306</v>
      </c>
      <c r="I8" s="326" t="s">
        <v>307</v>
      </c>
      <c r="J8" s="326" t="s">
        <v>332</v>
      </c>
      <c r="K8" s="326"/>
      <c r="L8" s="326" t="s">
        <v>309</v>
      </c>
      <c r="M8" s="326" t="s">
        <v>310</v>
      </c>
      <c r="N8" s="326">
        <v>23970</v>
      </c>
      <c r="O8" s="326">
        <v>105975</v>
      </c>
      <c r="P8" s="326">
        <v>0</v>
      </c>
      <c r="Q8" s="326" t="s">
        <v>298</v>
      </c>
      <c r="R8" s="326">
        <v>1</v>
      </c>
      <c r="S8" s="326">
        <v>1</v>
      </c>
      <c r="T8" s="326"/>
      <c r="U8" s="326">
        <v>0</v>
      </c>
      <c r="V8" s="326">
        <v>2</v>
      </c>
      <c r="W8" s="326">
        <v>6</v>
      </c>
      <c r="X8" s="326">
        <v>4518</v>
      </c>
      <c r="Y8" s="326" t="s">
        <v>299</v>
      </c>
      <c r="Z8" s="326" t="str">
        <f t="shared" si="0"/>
        <v>Apartments</v>
      </c>
      <c r="AA8" s="326" t="s">
        <v>300</v>
      </c>
      <c r="AB8" s="326" t="s">
        <v>301</v>
      </c>
      <c r="AC8" s="326"/>
      <c r="AD8" s="326" t="s">
        <v>302</v>
      </c>
      <c r="AE8" s="327">
        <v>-9999</v>
      </c>
      <c r="AF8" s="328" t="s">
        <v>204</v>
      </c>
      <c r="AG8" s="326">
        <v>10</v>
      </c>
      <c r="AH8" s="326">
        <v>10</v>
      </c>
      <c r="AI8" s="329">
        <v>7106.6559049699999</v>
      </c>
      <c r="AJ8" s="330">
        <f t="shared" si="1"/>
        <v>0.16314637063751147</v>
      </c>
      <c r="AK8" s="330" t="str">
        <f t="shared" si="2"/>
        <v>FZ no SLR</v>
      </c>
    </row>
    <row r="9" spans="1:37">
      <c r="A9" s="326">
        <v>423</v>
      </c>
      <c r="B9" s="326" t="s">
        <v>333</v>
      </c>
      <c r="C9" s="326" t="s">
        <v>333</v>
      </c>
      <c r="D9" s="326" t="s">
        <v>334</v>
      </c>
      <c r="E9" s="326" t="s">
        <v>335</v>
      </c>
      <c r="F9" s="326"/>
      <c r="G9" s="327">
        <v>0</v>
      </c>
      <c r="H9" s="326" t="s">
        <v>336</v>
      </c>
      <c r="I9" s="326" t="s">
        <v>307</v>
      </c>
      <c r="J9" s="326" t="s">
        <v>337</v>
      </c>
      <c r="K9" s="326"/>
      <c r="L9" s="326" t="s">
        <v>309</v>
      </c>
      <c r="M9" s="326" t="s">
        <v>310</v>
      </c>
      <c r="N9" s="326">
        <v>133109</v>
      </c>
      <c r="O9" s="326">
        <v>462767</v>
      </c>
      <c r="P9" s="326">
        <v>0</v>
      </c>
      <c r="Q9" s="326" t="s">
        <v>298</v>
      </c>
      <c r="R9" s="326">
        <v>1</v>
      </c>
      <c r="S9" s="326">
        <v>1</v>
      </c>
      <c r="T9" s="326"/>
      <c r="U9" s="326">
        <v>0</v>
      </c>
      <c r="V9" s="326">
        <v>1</v>
      </c>
      <c r="W9" s="326">
        <v>6</v>
      </c>
      <c r="X9" s="326">
        <v>2749</v>
      </c>
      <c r="Y9" s="326" t="s">
        <v>299</v>
      </c>
      <c r="Z9" s="326" t="str">
        <f t="shared" si="0"/>
        <v>Apartments</v>
      </c>
      <c r="AA9" s="326" t="s">
        <v>300</v>
      </c>
      <c r="AB9" s="326" t="s">
        <v>301</v>
      </c>
      <c r="AC9" s="326"/>
      <c r="AD9" s="326" t="s">
        <v>302</v>
      </c>
      <c r="AE9" s="327">
        <v>-9999</v>
      </c>
      <c r="AF9" s="328" t="s">
        <v>204</v>
      </c>
      <c r="AG9" s="326">
        <v>10</v>
      </c>
      <c r="AH9" s="326">
        <v>10</v>
      </c>
      <c r="AI9" s="329">
        <v>9968.8027906099996</v>
      </c>
      <c r="AJ9" s="330">
        <f t="shared" si="1"/>
        <v>0.22885222200665747</v>
      </c>
      <c r="AK9" s="330" t="str">
        <f t="shared" si="2"/>
        <v>FZ no SLR</v>
      </c>
    </row>
    <row r="10" spans="1:37">
      <c r="A10" s="326">
        <v>426</v>
      </c>
      <c r="B10" s="326" t="s">
        <v>338</v>
      </c>
      <c r="C10" s="326" t="s">
        <v>338</v>
      </c>
      <c r="D10" s="326" t="s">
        <v>339</v>
      </c>
      <c r="E10" s="326" t="s">
        <v>340</v>
      </c>
      <c r="F10" s="326"/>
      <c r="G10" s="327">
        <v>0</v>
      </c>
      <c r="H10" s="326" t="s">
        <v>341</v>
      </c>
      <c r="I10" s="326" t="s">
        <v>307</v>
      </c>
      <c r="J10" s="326" t="s">
        <v>342</v>
      </c>
      <c r="K10" s="326"/>
      <c r="L10" s="326" t="s">
        <v>309</v>
      </c>
      <c r="M10" s="326" t="s">
        <v>310</v>
      </c>
      <c r="N10" s="326">
        <v>28620</v>
      </c>
      <c r="O10" s="326">
        <v>102507</v>
      </c>
      <c r="P10" s="326">
        <v>0</v>
      </c>
      <c r="Q10" s="326" t="s">
        <v>298</v>
      </c>
      <c r="R10" s="326">
        <v>0</v>
      </c>
      <c r="S10" s="326">
        <v>3</v>
      </c>
      <c r="T10" s="326"/>
      <c r="U10" s="326">
        <v>0</v>
      </c>
      <c r="V10" s="326">
        <v>2</v>
      </c>
      <c r="W10" s="326">
        <v>6</v>
      </c>
      <c r="X10" s="326">
        <v>4038</v>
      </c>
      <c r="Y10" s="326" t="s">
        <v>299</v>
      </c>
      <c r="Z10" s="326" t="str">
        <f t="shared" si="0"/>
        <v>Apartments</v>
      </c>
      <c r="AA10" s="326" t="s">
        <v>300</v>
      </c>
      <c r="AB10" s="326" t="s">
        <v>301</v>
      </c>
      <c r="AC10" s="326"/>
      <c r="AD10" s="326" t="s">
        <v>302</v>
      </c>
      <c r="AE10" s="327">
        <v>-9999</v>
      </c>
      <c r="AF10" s="328" t="s">
        <v>204</v>
      </c>
      <c r="AG10" s="326">
        <v>10</v>
      </c>
      <c r="AH10" s="326">
        <v>10</v>
      </c>
      <c r="AI10" s="329">
        <v>9925.3498366599997</v>
      </c>
      <c r="AJ10" s="330">
        <f t="shared" si="1"/>
        <v>0.22785467944582186</v>
      </c>
      <c r="AK10" s="330" t="str">
        <f t="shared" si="2"/>
        <v>FZ no SLR</v>
      </c>
    </row>
    <row r="11" spans="1:37">
      <c r="A11" s="326">
        <v>49</v>
      </c>
      <c r="B11" s="326" t="s">
        <v>343</v>
      </c>
      <c r="C11" s="326" t="s">
        <v>343</v>
      </c>
      <c r="D11" s="326" t="s">
        <v>344</v>
      </c>
      <c r="E11" s="326" t="s">
        <v>345</v>
      </c>
      <c r="F11" s="326"/>
      <c r="G11" s="327">
        <v>0</v>
      </c>
      <c r="H11" s="326" t="s">
        <v>346</v>
      </c>
      <c r="I11" s="326" t="s">
        <v>294</v>
      </c>
      <c r="J11" s="326" t="s">
        <v>347</v>
      </c>
      <c r="K11" s="326" t="s">
        <v>348</v>
      </c>
      <c r="L11" s="326" t="s">
        <v>349</v>
      </c>
      <c r="M11" s="326" t="s">
        <v>350</v>
      </c>
      <c r="N11" s="326">
        <v>74839</v>
      </c>
      <c r="O11" s="326">
        <v>212381</v>
      </c>
      <c r="P11" s="326">
        <v>0</v>
      </c>
      <c r="Q11" s="326" t="s">
        <v>298</v>
      </c>
      <c r="R11" s="326">
        <v>0</v>
      </c>
      <c r="S11" s="326">
        <v>4</v>
      </c>
      <c r="T11" s="326"/>
      <c r="U11" s="326">
        <v>0</v>
      </c>
      <c r="V11" s="326">
        <v>1</v>
      </c>
      <c r="W11" s="326">
        <v>7</v>
      </c>
      <c r="X11" s="326">
        <v>5133</v>
      </c>
      <c r="Y11" s="326" t="s">
        <v>299</v>
      </c>
      <c r="Z11" s="326" t="str">
        <f t="shared" si="0"/>
        <v>Apartments</v>
      </c>
      <c r="AA11" s="326" t="s">
        <v>300</v>
      </c>
      <c r="AB11" s="326" t="s">
        <v>301</v>
      </c>
      <c r="AC11" s="326" t="s">
        <v>351</v>
      </c>
      <c r="AD11" s="326" t="s">
        <v>302</v>
      </c>
      <c r="AE11" s="327">
        <v>10</v>
      </c>
      <c r="AF11" s="328" t="s">
        <v>195</v>
      </c>
      <c r="AG11" s="326">
        <v>10</v>
      </c>
      <c r="AH11" s="326">
        <v>10</v>
      </c>
      <c r="AI11" s="329">
        <v>29465.068990399999</v>
      </c>
      <c r="AJ11" s="330">
        <f t="shared" si="1"/>
        <v>0.67642490795224974</v>
      </c>
      <c r="AK11" s="330" t="str">
        <f t="shared" si="2"/>
        <v>FZ no SLR</v>
      </c>
    </row>
    <row r="12" spans="1:37">
      <c r="A12" s="326">
        <v>69</v>
      </c>
      <c r="B12" s="326" t="s">
        <v>352</v>
      </c>
      <c r="C12" s="326" t="s">
        <v>352</v>
      </c>
      <c r="D12" s="326" t="s">
        <v>353</v>
      </c>
      <c r="E12" s="326" t="s">
        <v>354</v>
      </c>
      <c r="F12" s="326"/>
      <c r="G12" s="327">
        <v>0</v>
      </c>
      <c r="H12" s="326" t="s">
        <v>355</v>
      </c>
      <c r="I12" s="326" t="s">
        <v>356</v>
      </c>
      <c r="J12" s="326" t="s">
        <v>357</v>
      </c>
      <c r="K12" s="326"/>
      <c r="L12" s="326" t="s">
        <v>358</v>
      </c>
      <c r="M12" s="326" t="s">
        <v>350</v>
      </c>
      <c r="N12" s="326">
        <v>91171</v>
      </c>
      <c r="O12" s="326">
        <v>165844</v>
      </c>
      <c r="P12" s="326">
        <v>0</v>
      </c>
      <c r="Q12" s="326" t="s">
        <v>298</v>
      </c>
      <c r="R12" s="326">
        <v>0</v>
      </c>
      <c r="S12" s="326">
        <v>3</v>
      </c>
      <c r="T12" s="326"/>
      <c r="U12" s="326">
        <v>0</v>
      </c>
      <c r="V12" s="326">
        <v>2</v>
      </c>
      <c r="W12" s="326">
        <v>8</v>
      </c>
      <c r="X12" s="326">
        <v>6688</v>
      </c>
      <c r="Y12" s="326" t="s">
        <v>299</v>
      </c>
      <c r="Z12" s="326" t="str">
        <f t="shared" si="0"/>
        <v>Apartments</v>
      </c>
      <c r="AA12" s="326" t="s">
        <v>300</v>
      </c>
      <c r="AB12" s="326" t="s">
        <v>301</v>
      </c>
      <c r="AC12" s="326" t="s">
        <v>359</v>
      </c>
      <c r="AD12" s="326" t="s">
        <v>302</v>
      </c>
      <c r="AE12" s="327">
        <v>-9999</v>
      </c>
      <c r="AF12" s="328" t="s">
        <v>186</v>
      </c>
      <c r="AG12" s="326">
        <v>10</v>
      </c>
      <c r="AH12" s="326">
        <v>10</v>
      </c>
      <c r="AI12" s="329">
        <v>15484.283217099999</v>
      </c>
      <c r="AJ12" s="330">
        <f t="shared" si="1"/>
        <v>0.35547022996097333</v>
      </c>
      <c r="AK12" s="330" t="str">
        <f t="shared" si="2"/>
        <v>FZ no SLR</v>
      </c>
    </row>
    <row r="13" spans="1:37">
      <c r="A13" s="326">
        <v>440</v>
      </c>
      <c r="B13" s="326" t="s">
        <v>360</v>
      </c>
      <c r="C13" s="326" t="s">
        <v>360</v>
      </c>
      <c r="D13" s="326" t="s">
        <v>317</v>
      </c>
      <c r="E13" s="326" t="s">
        <v>361</v>
      </c>
      <c r="F13" s="326"/>
      <c r="G13" s="327">
        <v>0</v>
      </c>
      <c r="H13" s="326" t="s">
        <v>362</v>
      </c>
      <c r="I13" s="326" t="s">
        <v>307</v>
      </c>
      <c r="J13" s="326" t="s">
        <v>363</v>
      </c>
      <c r="K13" s="326"/>
      <c r="L13" s="326" t="s">
        <v>309</v>
      </c>
      <c r="M13" s="326" t="s">
        <v>310</v>
      </c>
      <c r="N13" s="326">
        <v>262302</v>
      </c>
      <c r="O13" s="326">
        <v>502749</v>
      </c>
      <c r="P13" s="326">
        <v>0</v>
      </c>
      <c r="Q13" s="326" t="s">
        <v>298</v>
      </c>
      <c r="R13" s="326">
        <v>0</v>
      </c>
      <c r="S13" s="326">
        <v>9</v>
      </c>
      <c r="T13" s="326"/>
      <c r="U13" s="326">
        <v>0</v>
      </c>
      <c r="V13" s="326">
        <v>1</v>
      </c>
      <c r="W13" s="326">
        <v>8</v>
      </c>
      <c r="X13" s="326">
        <v>4440</v>
      </c>
      <c r="Y13" s="326" t="s">
        <v>299</v>
      </c>
      <c r="Z13" s="326" t="str">
        <f t="shared" si="0"/>
        <v>Apartments</v>
      </c>
      <c r="AA13" s="326" t="s">
        <v>300</v>
      </c>
      <c r="AB13" s="326" t="s">
        <v>301</v>
      </c>
      <c r="AC13" s="326" t="s">
        <v>359</v>
      </c>
      <c r="AD13" s="326" t="s">
        <v>302</v>
      </c>
      <c r="AE13" s="327">
        <v>-9999</v>
      </c>
      <c r="AF13" s="328" t="s">
        <v>204</v>
      </c>
      <c r="AG13" s="326">
        <v>10</v>
      </c>
      <c r="AH13" s="326">
        <v>10</v>
      </c>
      <c r="AI13" s="329">
        <v>9966.4843508699996</v>
      </c>
      <c r="AJ13" s="330">
        <f t="shared" si="1"/>
        <v>0.22879899795385675</v>
      </c>
      <c r="AK13" s="330" t="str">
        <f t="shared" si="2"/>
        <v>FZ no SLR</v>
      </c>
    </row>
    <row r="14" spans="1:37">
      <c r="A14" s="326">
        <v>1096</v>
      </c>
      <c r="B14" s="326" t="s">
        <v>364</v>
      </c>
      <c r="C14" s="326" t="s">
        <v>364</v>
      </c>
      <c r="D14" s="326" t="s">
        <v>365</v>
      </c>
      <c r="E14" s="326" t="s">
        <v>366</v>
      </c>
      <c r="F14" s="326"/>
      <c r="G14" s="327">
        <v>0</v>
      </c>
      <c r="H14" s="326" t="s">
        <v>367</v>
      </c>
      <c r="I14" s="326" t="s">
        <v>307</v>
      </c>
      <c r="J14" s="326" t="s">
        <v>368</v>
      </c>
      <c r="K14" s="326"/>
      <c r="L14" s="326" t="s">
        <v>369</v>
      </c>
      <c r="M14" s="326" t="s">
        <v>370</v>
      </c>
      <c r="N14" s="326">
        <v>76892</v>
      </c>
      <c r="O14" s="326">
        <v>218249</v>
      </c>
      <c r="P14" s="326">
        <v>0</v>
      </c>
      <c r="Q14" s="326" t="s">
        <v>298</v>
      </c>
      <c r="R14" s="326">
        <v>1</v>
      </c>
      <c r="S14" s="326">
        <v>1</v>
      </c>
      <c r="T14" s="326"/>
      <c r="U14" s="326">
        <v>0</v>
      </c>
      <c r="V14" s="326">
        <v>2</v>
      </c>
      <c r="W14" s="326">
        <v>8</v>
      </c>
      <c r="X14" s="326">
        <v>5840</v>
      </c>
      <c r="Y14" s="326" t="s">
        <v>299</v>
      </c>
      <c r="Z14" s="326" t="str">
        <f t="shared" si="0"/>
        <v>Apartments</v>
      </c>
      <c r="AA14" s="326" t="s">
        <v>300</v>
      </c>
      <c r="AB14" s="326" t="s">
        <v>301</v>
      </c>
      <c r="AC14" s="326"/>
      <c r="AD14" s="326" t="s">
        <v>302</v>
      </c>
      <c r="AE14" s="327">
        <v>-9999</v>
      </c>
      <c r="AF14" s="328" t="s">
        <v>186</v>
      </c>
      <c r="AG14" s="326">
        <v>10</v>
      </c>
      <c r="AH14" s="326">
        <v>6</v>
      </c>
      <c r="AI14" s="329">
        <v>3144.7924514299998</v>
      </c>
      <c r="AJ14" s="330">
        <f t="shared" si="1"/>
        <v>7.2194500721533508E-2</v>
      </c>
      <c r="AK14" s="330" t="str">
        <f t="shared" si="2"/>
        <v>FZ no SLR</v>
      </c>
    </row>
    <row r="15" spans="1:37">
      <c r="A15" s="326">
        <v>1098</v>
      </c>
      <c r="B15" s="326" t="s">
        <v>371</v>
      </c>
      <c r="C15" s="326" t="s">
        <v>371</v>
      </c>
      <c r="D15" s="326" t="s">
        <v>365</v>
      </c>
      <c r="E15" s="326" t="s">
        <v>372</v>
      </c>
      <c r="F15" s="326"/>
      <c r="G15" s="327">
        <v>0</v>
      </c>
      <c r="H15" s="326" t="s">
        <v>367</v>
      </c>
      <c r="I15" s="326" t="s">
        <v>307</v>
      </c>
      <c r="J15" s="326" t="s">
        <v>368</v>
      </c>
      <c r="K15" s="326"/>
      <c r="L15" s="326" t="s">
        <v>369</v>
      </c>
      <c r="M15" s="326" t="s">
        <v>370</v>
      </c>
      <c r="N15" s="326">
        <v>76892</v>
      </c>
      <c r="O15" s="326">
        <v>218249</v>
      </c>
      <c r="P15" s="326">
        <v>0</v>
      </c>
      <c r="Q15" s="326" t="s">
        <v>298</v>
      </c>
      <c r="R15" s="326">
        <v>1</v>
      </c>
      <c r="S15" s="326">
        <v>1</v>
      </c>
      <c r="T15" s="326"/>
      <c r="U15" s="326">
        <v>0</v>
      </c>
      <c r="V15" s="326">
        <v>2</v>
      </c>
      <c r="W15" s="326">
        <v>8</v>
      </c>
      <c r="X15" s="326">
        <v>5840</v>
      </c>
      <c r="Y15" s="326" t="s">
        <v>299</v>
      </c>
      <c r="Z15" s="326" t="str">
        <f t="shared" si="0"/>
        <v>Apartments</v>
      </c>
      <c r="AA15" s="326" t="s">
        <v>300</v>
      </c>
      <c r="AB15" s="326" t="s">
        <v>301</v>
      </c>
      <c r="AC15" s="326"/>
      <c r="AD15" s="326" t="s">
        <v>302</v>
      </c>
      <c r="AE15" s="327">
        <v>-9999</v>
      </c>
      <c r="AF15" s="328" t="s">
        <v>186</v>
      </c>
      <c r="AG15" s="326">
        <v>10</v>
      </c>
      <c r="AH15" s="326">
        <v>10</v>
      </c>
      <c r="AI15" s="329">
        <v>3175.2210258599998</v>
      </c>
      <c r="AJ15" s="330">
        <f t="shared" si="1"/>
        <v>7.2893044670798893E-2</v>
      </c>
      <c r="AK15" s="330" t="str">
        <f t="shared" si="2"/>
        <v>FZ no SLR</v>
      </c>
    </row>
    <row r="16" spans="1:37">
      <c r="A16" s="326">
        <v>469</v>
      </c>
      <c r="B16" s="326" t="s">
        <v>373</v>
      </c>
      <c r="C16" s="326" t="s">
        <v>373</v>
      </c>
      <c r="D16" s="326" t="s">
        <v>374</v>
      </c>
      <c r="E16" s="326" t="s">
        <v>375</v>
      </c>
      <c r="F16" s="326"/>
      <c r="G16" s="327">
        <v>0</v>
      </c>
      <c r="H16" s="326" t="s">
        <v>376</v>
      </c>
      <c r="I16" s="326" t="s">
        <v>307</v>
      </c>
      <c r="J16" s="326" t="s">
        <v>377</v>
      </c>
      <c r="K16" s="326"/>
      <c r="L16" s="326" t="s">
        <v>309</v>
      </c>
      <c r="M16" s="326" t="s">
        <v>310</v>
      </c>
      <c r="N16" s="326">
        <v>172086</v>
      </c>
      <c r="O16" s="326">
        <v>399489</v>
      </c>
      <c r="P16" s="326">
        <v>0</v>
      </c>
      <c r="Q16" s="326" t="s">
        <v>298</v>
      </c>
      <c r="R16" s="326">
        <v>1</v>
      </c>
      <c r="S16" s="326">
        <v>1</v>
      </c>
      <c r="T16" s="326"/>
      <c r="U16" s="326">
        <v>0</v>
      </c>
      <c r="V16" s="326">
        <v>2</v>
      </c>
      <c r="W16" s="326">
        <v>9</v>
      </c>
      <c r="X16" s="326">
        <v>6659</v>
      </c>
      <c r="Y16" s="326" t="s">
        <v>299</v>
      </c>
      <c r="Z16" s="326" t="str">
        <f t="shared" si="0"/>
        <v>Apartments</v>
      </c>
      <c r="AA16" s="326" t="s">
        <v>300</v>
      </c>
      <c r="AB16" s="326" t="s">
        <v>301</v>
      </c>
      <c r="AC16" s="326"/>
      <c r="AD16" s="326" t="s">
        <v>302</v>
      </c>
      <c r="AE16" s="327">
        <v>-9999</v>
      </c>
      <c r="AF16" s="328" t="s">
        <v>204</v>
      </c>
      <c r="AG16" s="326">
        <v>10</v>
      </c>
      <c r="AH16" s="326">
        <v>10</v>
      </c>
      <c r="AI16" s="329">
        <v>4971.1378253800003</v>
      </c>
      <c r="AJ16" s="330">
        <f t="shared" si="1"/>
        <v>0.11412162133562903</v>
      </c>
      <c r="AK16" s="330" t="str">
        <f t="shared" si="2"/>
        <v>FZ no SLR</v>
      </c>
    </row>
    <row r="17" spans="1:37">
      <c r="A17" s="326">
        <v>425</v>
      </c>
      <c r="B17" s="326" t="s">
        <v>378</v>
      </c>
      <c r="C17" s="326" t="s">
        <v>378</v>
      </c>
      <c r="D17" s="326" t="s">
        <v>379</v>
      </c>
      <c r="E17" s="326" t="s">
        <v>380</v>
      </c>
      <c r="F17" s="326"/>
      <c r="G17" s="327">
        <v>0</v>
      </c>
      <c r="H17" s="326" t="s">
        <v>362</v>
      </c>
      <c r="I17" s="326" t="s">
        <v>307</v>
      </c>
      <c r="J17" s="326" t="s">
        <v>381</v>
      </c>
      <c r="K17" s="326"/>
      <c r="L17" s="326" t="s">
        <v>309</v>
      </c>
      <c r="M17" s="326" t="s">
        <v>310</v>
      </c>
      <c r="N17" s="326">
        <v>249900</v>
      </c>
      <c r="O17" s="326">
        <v>750100</v>
      </c>
      <c r="P17" s="326">
        <v>0</v>
      </c>
      <c r="Q17" s="326" t="s">
        <v>298</v>
      </c>
      <c r="R17" s="326">
        <v>0</v>
      </c>
      <c r="S17" s="326">
        <v>5</v>
      </c>
      <c r="T17" s="326"/>
      <c r="U17" s="326">
        <v>0</v>
      </c>
      <c r="V17" s="326">
        <v>1</v>
      </c>
      <c r="W17" s="326">
        <v>10</v>
      </c>
      <c r="X17" s="326">
        <v>5637</v>
      </c>
      <c r="Y17" s="326" t="s">
        <v>299</v>
      </c>
      <c r="Z17" s="326" t="str">
        <f t="shared" si="0"/>
        <v>Apartments</v>
      </c>
      <c r="AA17" s="326" t="s">
        <v>300</v>
      </c>
      <c r="AB17" s="326" t="s">
        <v>301</v>
      </c>
      <c r="AC17" s="326"/>
      <c r="AD17" s="326" t="s">
        <v>302</v>
      </c>
      <c r="AE17" s="327">
        <v>-9999</v>
      </c>
      <c r="AF17" s="328" t="s">
        <v>204</v>
      </c>
      <c r="AG17" s="326">
        <v>10</v>
      </c>
      <c r="AH17" s="326">
        <v>10</v>
      </c>
      <c r="AI17" s="329">
        <v>9701.7339579599993</v>
      </c>
      <c r="AJ17" s="330">
        <f t="shared" si="1"/>
        <v>0.22272116524242422</v>
      </c>
      <c r="AK17" s="330" t="str">
        <f t="shared" si="2"/>
        <v>FZ no SLR</v>
      </c>
    </row>
    <row r="18" spans="1:37">
      <c r="A18" s="326">
        <v>71</v>
      </c>
      <c r="B18" s="326" t="s">
        <v>382</v>
      </c>
      <c r="C18" s="326" t="s">
        <v>382</v>
      </c>
      <c r="D18" s="326" t="s">
        <v>353</v>
      </c>
      <c r="E18" s="326" t="s">
        <v>383</v>
      </c>
      <c r="F18" s="326"/>
      <c r="G18" s="327">
        <v>0</v>
      </c>
      <c r="H18" s="326" t="s">
        <v>355</v>
      </c>
      <c r="I18" s="326" t="s">
        <v>356</v>
      </c>
      <c r="J18" s="326" t="s">
        <v>384</v>
      </c>
      <c r="K18" s="326"/>
      <c r="L18" s="326" t="s">
        <v>358</v>
      </c>
      <c r="M18" s="326" t="s">
        <v>350</v>
      </c>
      <c r="N18" s="326">
        <v>136761</v>
      </c>
      <c r="O18" s="326">
        <v>250084</v>
      </c>
      <c r="P18" s="326">
        <v>0</v>
      </c>
      <c r="Q18" s="326" t="s">
        <v>298</v>
      </c>
      <c r="R18" s="326">
        <v>1</v>
      </c>
      <c r="S18" s="326">
        <v>1</v>
      </c>
      <c r="T18" s="326"/>
      <c r="U18" s="326">
        <v>0</v>
      </c>
      <c r="V18" s="326">
        <v>2</v>
      </c>
      <c r="W18" s="326">
        <v>12</v>
      </c>
      <c r="X18" s="326">
        <v>0</v>
      </c>
      <c r="Y18" s="326" t="s">
        <v>299</v>
      </c>
      <c r="Z18" s="326" t="str">
        <f t="shared" si="0"/>
        <v>Apartments</v>
      </c>
      <c r="AA18" s="326" t="s">
        <v>300</v>
      </c>
      <c r="AB18" s="326" t="s">
        <v>301</v>
      </c>
      <c r="AC18" s="326"/>
      <c r="AD18" s="326" t="s">
        <v>302</v>
      </c>
      <c r="AE18" s="327">
        <v>-9999</v>
      </c>
      <c r="AF18" s="328" t="s">
        <v>204</v>
      </c>
      <c r="AG18" s="326">
        <v>10</v>
      </c>
      <c r="AH18" s="326">
        <v>10</v>
      </c>
      <c r="AI18" s="329">
        <v>24726.1070697</v>
      </c>
      <c r="AJ18" s="330">
        <f t="shared" si="1"/>
        <v>0.56763331197658407</v>
      </c>
      <c r="AK18" s="330" t="str">
        <f t="shared" si="2"/>
        <v>FZ no SLR</v>
      </c>
    </row>
    <row r="19" spans="1:37">
      <c r="A19" s="326">
        <v>436</v>
      </c>
      <c r="B19" s="326" t="s">
        <v>385</v>
      </c>
      <c r="C19" s="326" t="s">
        <v>385</v>
      </c>
      <c r="D19" s="326" t="s">
        <v>386</v>
      </c>
      <c r="E19" s="326" t="s">
        <v>387</v>
      </c>
      <c r="F19" s="326"/>
      <c r="G19" s="327">
        <v>0</v>
      </c>
      <c r="H19" s="326" t="s">
        <v>388</v>
      </c>
      <c r="I19" s="326" t="s">
        <v>307</v>
      </c>
      <c r="J19" s="326" t="s">
        <v>389</v>
      </c>
      <c r="K19" s="326"/>
      <c r="L19" s="326" t="s">
        <v>309</v>
      </c>
      <c r="M19" s="326" t="s">
        <v>310</v>
      </c>
      <c r="N19" s="326">
        <v>283600</v>
      </c>
      <c r="O19" s="326">
        <v>916400</v>
      </c>
      <c r="P19" s="326">
        <v>0</v>
      </c>
      <c r="Q19" s="326" t="s">
        <v>298</v>
      </c>
      <c r="R19" s="326">
        <v>0</v>
      </c>
      <c r="S19" s="326">
        <v>3</v>
      </c>
      <c r="T19" s="326"/>
      <c r="U19" s="326">
        <v>0</v>
      </c>
      <c r="V19" s="326">
        <v>2</v>
      </c>
      <c r="W19" s="326">
        <v>12</v>
      </c>
      <c r="X19" s="326">
        <v>8711</v>
      </c>
      <c r="Y19" s="326" t="s">
        <v>299</v>
      </c>
      <c r="Z19" s="326" t="str">
        <f t="shared" si="0"/>
        <v>Apartments</v>
      </c>
      <c r="AA19" s="326" t="s">
        <v>300</v>
      </c>
      <c r="AB19" s="326" t="s">
        <v>301</v>
      </c>
      <c r="AC19" s="326" t="s">
        <v>359</v>
      </c>
      <c r="AD19" s="326" t="s">
        <v>302</v>
      </c>
      <c r="AE19" s="327">
        <v>-9999</v>
      </c>
      <c r="AF19" s="328" t="s">
        <v>204</v>
      </c>
      <c r="AG19" s="326">
        <v>10</v>
      </c>
      <c r="AH19" s="326">
        <v>10</v>
      </c>
      <c r="AI19" s="329">
        <v>10002.3434652</v>
      </c>
      <c r="AJ19" s="330">
        <f t="shared" si="1"/>
        <v>0.22962220994490357</v>
      </c>
      <c r="AK19" s="330" t="str">
        <f t="shared" si="2"/>
        <v>FZ no SLR</v>
      </c>
    </row>
    <row r="20" spans="1:37">
      <c r="A20" s="326">
        <v>419</v>
      </c>
      <c r="B20" s="326" t="s">
        <v>390</v>
      </c>
      <c r="C20" s="326" t="s">
        <v>390</v>
      </c>
      <c r="D20" s="326" t="s">
        <v>391</v>
      </c>
      <c r="E20" s="326" t="s">
        <v>331</v>
      </c>
      <c r="F20" s="326"/>
      <c r="G20" s="327">
        <v>0</v>
      </c>
      <c r="H20" s="326" t="s">
        <v>306</v>
      </c>
      <c r="I20" s="326" t="s">
        <v>307</v>
      </c>
      <c r="J20" s="326" t="s">
        <v>392</v>
      </c>
      <c r="K20" s="326"/>
      <c r="L20" s="326" t="s">
        <v>309</v>
      </c>
      <c r="M20" s="326" t="s">
        <v>310</v>
      </c>
      <c r="N20" s="326">
        <v>315897</v>
      </c>
      <c r="O20" s="326">
        <v>737094</v>
      </c>
      <c r="P20" s="326">
        <v>0</v>
      </c>
      <c r="Q20" s="326" t="s">
        <v>298</v>
      </c>
      <c r="R20" s="326">
        <v>1</v>
      </c>
      <c r="S20" s="326">
        <v>1</v>
      </c>
      <c r="T20" s="326"/>
      <c r="U20" s="326">
        <v>0</v>
      </c>
      <c r="V20" s="326">
        <v>2</v>
      </c>
      <c r="W20" s="326">
        <v>16</v>
      </c>
      <c r="X20" s="326">
        <v>4395</v>
      </c>
      <c r="Y20" s="326" t="s">
        <v>393</v>
      </c>
      <c r="Z20" s="326" t="str">
        <f t="shared" si="0"/>
        <v>Apartments</v>
      </c>
      <c r="AA20" s="326" t="s">
        <v>300</v>
      </c>
      <c r="AB20" s="326" t="s">
        <v>301</v>
      </c>
      <c r="AC20" s="326"/>
      <c r="AD20" s="326" t="s">
        <v>302</v>
      </c>
      <c r="AE20" s="327">
        <v>-9999</v>
      </c>
      <c r="AF20" s="328" t="s">
        <v>204</v>
      </c>
      <c r="AG20" s="326">
        <v>10</v>
      </c>
      <c r="AH20" s="326">
        <v>10</v>
      </c>
      <c r="AI20" s="329">
        <v>8360.3769710899996</v>
      </c>
      <c r="AJ20" s="330">
        <f t="shared" si="1"/>
        <v>0.1919278459846189</v>
      </c>
      <c r="AK20" s="330" t="str">
        <f t="shared" si="2"/>
        <v>FZ no SLR</v>
      </c>
    </row>
    <row r="21" spans="1:37">
      <c r="A21" s="326">
        <v>488</v>
      </c>
      <c r="B21" s="326" t="s">
        <v>394</v>
      </c>
      <c r="C21" s="326" t="s">
        <v>394</v>
      </c>
      <c r="D21" s="326" t="s">
        <v>395</v>
      </c>
      <c r="E21" s="326" t="s">
        <v>396</v>
      </c>
      <c r="F21" s="326"/>
      <c r="G21" s="327">
        <v>0.1</v>
      </c>
      <c r="H21" s="326" t="s">
        <v>397</v>
      </c>
      <c r="I21" s="326" t="s">
        <v>307</v>
      </c>
      <c r="J21" s="326" t="s">
        <v>398</v>
      </c>
      <c r="K21" s="326"/>
      <c r="L21" s="326" t="s">
        <v>309</v>
      </c>
      <c r="M21" s="326" t="s">
        <v>310</v>
      </c>
      <c r="N21" s="326">
        <v>75971</v>
      </c>
      <c r="O21" s="326">
        <v>116155</v>
      </c>
      <c r="P21" s="326">
        <v>3693</v>
      </c>
      <c r="Q21" s="326" t="s">
        <v>298</v>
      </c>
      <c r="R21" s="326">
        <v>1</v>
      </c>
      <c r="S21" s="326">
        <v>1</v>
      </c>
      <c r="T21" s="326"/>
      <c r="U21" s="326">
        <v>0</v>
      </c>
      <c r="V21" s="326">
        <v>3</v>
      </c>
      <c r="W21" s="326">
        <v>19</v>
      </c>
      <c r="X21" s="326">
        <v>10560</v>
      </c>
      <c r="Y21" s="326" t="s">
        <v>393</v>
      </c>
      <c r="Z21" s="326" t="str">
        <f t="shared" si="0"/>
        <v>Apartments</v>
      </c>
      <c r="AA21" s="326" t="s">
        <v>300</v>
      </c>
      <c r="AB21" s="326" t="s">
        <v>301</v>
      </c>
      <c r="AC21" s="326"/>
      <c r="AD21" s="326" t="s">
        <v>302</v>
      </c>
      <c r="AE21" s="327">
        <v>-9999</v>
      </c>
      <c r="AF21" s="328" t="s">
        <v>204</v>
      </c>
      <c r="AG21" s="326">
        <v>10</v>
      </c>
      <c r="AH21" s="326">
        <v>10</v>
      </c>
      <c r="AI21" s="329">
        <v>4340.8898990099997</v>
      </c>
      <c r="AJ21" s="330">
        <f t="shared" si="1"/>
        <v>9.9653119811983465E-2</v>
      </c>
      <c r="AK21" s="330" t="str">
        <f t="shared" si="2"/>
        <v>FZ no SLR</v>
      </c>
    </row>
    <row r="22" spans="1:37">
      <c r="A22" s="326">
        <v>286</v>
      </c>
      <c r="B22" s="326" t="s">
        <v>399</v>
      </c>
      <c r="C22" s="326" t="s">
        <v>399</v>
      </c>
      <c r="D22" s="326" t="s">
        <v>291</v>
      </c>
      <c r="E22" s="326" t="s">
        <v>400</v>
      </c>
      <c r="F22" s="326"/>
      <c r="G22" s="327">
        <v>0</v>
      </c>
      <c r="H22" s="326" t="s">
        <v>293</v>
      </c>
      <c r="I22" s="326" t="s">
        <v>294</v>
      </c>
      <c r="J22" s="326" t="s">
        <v>401</v>
      </c>
      <c r="K22" s="326"/>
      <c r="L22" s="326" t="s">
        <v>296</v>
      </c>
      <c r="M22" s="326" t="s">
        <v>297</v>
      </c>
      <c r="N22" s="326">
        <v>204413</v>
      </c>
      <c r="O22" s="326">
        <v>761505</v>
      </c>
      <c r="P22" s="326">
        <v>0</v>
      </c>
      <c r="Q22" s="326" t="s">
        <v>298</v>
      </c>
      <c r="R22" s="326">
        <v>0</v>
      </c>
      <c r="S22" s="326">
        <v>3</v>
      </c>
      <c r="T22" s="326"/>
      <c r="U22" s="326">
        <v>0</v>
      </c>
      <c r="V22" s="326">
        <v>2</v>
      </c>
      <c r="W22" s="326">
        <v>24</v>
      </c>
      <c r="X22" s="326">
        <v>18580</v>
      </c>
      <c r="Y22" s="326" t="s">
        <v>393</v>
      </c>
      <c r="Z22" s="326" t="str">
        <f t="shared" si="0"/>
        <v>Apartments</v>
      </c>
      <c r="AA22" s="326" t="s">
        <v>300</v>
      </c>
      <c r="AB22" s="326" t="s">
        <v>301</v>
      </c>
      <c r="AC22" s="326"/>
      <c r="AD22" s="326" t="s">
        <v>302</v>
      </c>
      <c r="AE22" s="327">
        <v>-9999</v>
      </c>
      <c r="AF22" s="328" t="s">
        <v>195</v>
      </c>
      <c r="AG22" s="326">
        <v>10</v>
      </c>
      <c r="AH22" s="326">
        <v>10</v>
      </c>
      <c r="AI22" s="329">
        <v>11291.656708099999</v>
      </c>
      <c r="AJ22" s="330">
        <f t="shared" si="1"/>
        <v>0.25922076924012855</v>
      </c>
      <c r="AK22" s="330" t="str">
        <f t="shared" si="2"/>
        <v>FZ no SLR</v>
      </c>
    </row>
    <row r="23" spans="1:37">
      <c r="A23" s="326">
        <v>1002</v>
      </c>
      <c r="B23" s="326" t="s">
        <v>402</v>
      </c>
      <c r="C23" s="326" t="s">
        <v>402</v>
      </c>
      <c r="D23" s="326" t="s">
        <v>403</v>
      </c>
      <c r="E23" s="326" t="s">
        <v>404</v>
      </c>
      <c r="F23" s="326"/>
      <c r="G23" s="327">
        <v>0.67</v>
      </c>
      <c r="H23" s="326" t="s">
        <v>405</v>
      </c>
      <c r="I23" s="326" t="s">
        <v>406</v>
      </c>
      <c r="J23" s="326" t="s">
        <v>407</v>
      </c>
      <c r="K23" s="326"/>
      <c r="L23" s="326" t="s">
        <v>408</v>
      </c>
      <c r="M23" s="326" t="s">
        <v>409</v>
      </c>
      <c r="N23" s="326">
        <v>934900</v>
      </c>
      <c r="O23" s="326">
        <v>1870100</v>
      </c>
      <c r="P23" s="326">
        <v>0</v>
      </c>
      <c r="Q23" s="326" t="s">
        <v>298</v>
      </c>
      <c r="R23" s="326">
        <v>1</v>
      </c>
      <c r="S23" s="326">
        <v>1</v>
      </c>
      <c r="T23" s="326"/>
      <c r="U23" s="326">
        <v>0</v>
      </c>
      <c r="V23" s="326">
        <v>3</v>
      </c>
      <c r="W23" s="326">
        <v>36</v>
      </c>
      <c r="X23" s="326">
        <v>35417</v>
      </c>
      <c r="Y23" s="326" t="s">
        <v>410</v>
      </c>
      <c r="Z23" s="326" t="str">
        <f t="shared" si="0"/>
        <v>Apartments</v>
      </c>
      <c r="AA23" s="326" t="s">
        <v>300</v>
      </c>
      <c r="AB23" s="326" t="s">
        <v>301</v>
      </c>
      <c r="AC23" s="326"/>
      <c r="AD23" s="326" t="s">
        <v>302</v>
      </c>
      <c r="AE23" s="327">
        <v>-9999</v>
      </c>
      <c r="AF23" s="328" t="s">
        <v>195</v>
      </c>
      <c r="AG23" s="326">
        <v>10</v>
      </c>
      <c r="AH23" s="326">
        <v>10</v>
      </c>
      <c r="AI23" s="329">
        <v>27764.8855411</v>
      </c>
      <c r="AJ23" s="330">
        <f t="shared" si="1"/>
        <v>0.63739406660009179</v>
      </c>
      <c r="AK23" s="330" t="str">
        <f t="shared" si="2"/>
        <v>FZ no SLR</v>
      </c>
    </row>
    <row r="24" spans="1:37">
      <c r="A24" s="326">
        <v>1003</v>
      </c>
      <c r="B24" s="326" t="s">
        <v>411</v>
      </c>
      <c r="C24" s="326" t="s">
        <v>411</v>
      </c>
      <c r="D24" s="326" t="s">
        <v>412</v>
      </c>
      <c r="E24" s="326" t="s">
        <v>413</v>
      </c>
      <c r="F24" s="326"/>
      <c r="G24" s="327">
        <v>2.98</v>
      </c>
      <c r="H24" s="326" t="s">
        <v>405</v>
      </c>
      <c r="I24" s="326" t="s">
        <v>406</v>
      </c>
      <c r="J24" s="326" t="s">
        <v>414</v>
      </c>
      <c r="K24" s="326"/>
      <c r="L24" s="326" t="s">
        <v>408</v>
      </c>
      <c r="M24" s="326" t="s">
        <v>409</v>
      </c>
      <c r="N24" s="326">
        <v>2904828</v>
      </c>
      <c r="O24" s="326">
        <v>5809656</v>
      </c>
      <c r="P24" s="326">
        <v>0</v>
      </c>
      <c r="Q24" s="326" t="s">
        <v>298</v>
      </c>
      <c r="R24" s="326">
        <v>1</v>
      </c>
      <c r="S24" s="326">
        <v>1</v>
      </c>
      <c r="T24" s="326"/>
      <c r="U24" s="326">
        <v>0</v>
      </c>
      <c r="V24" s="326">
        <v>3</v>
      </c>
      <c r="W24" s="326">
        <v>84</v>
      </c>
      <c r="X24" s="326">
        <v>87003</v>
      </c>
      <c r="Y24" s="326" t="s">
        <v>415</v>
      </c>
      <c r="Z24" s="326" t="str">
        <f t="shared" si="0"/>
        <v>Apartments</v>
      </c>
      <c r="AA24" s="326" t="s">
        <v>300</v>
      </c>
      <c r="AB24" s="326" t="s">
        <v>301</v>
      </c>
      <c r="AC24" s="326"/>
      <c r="AD24" s="326" t="s">
        <v>302</v>
      </c>
      <c r="AE24" s="327">
        <v>-9999</v>
      </c>
      <c r="AF24" s="328" t="s">
        <v>195</v>
      </c>
      <c r="AG24" s="326">
        <v>10</v>
      </c>
      <c r="AH24" s="326">
        <v>10</v>
      </c>
      <c r="AI24" s="329">
        <v>131659.00747499999</v>
      </c>
      <c r="AJ24" s="330">
        <f t="shared" si="1"/>
        <v>3.0224749190771347</v>
      </c>
      <c r="AK24" s="330" t="str">
        <f t="shared" si="2"/>
        <v>FZ no SLR</v>
      </c>
    </row>
    <row r="25" spans="1:37">
      <c r="A25" s="326">
        <v>173</v>
      </c>
      <c r="B25" s="326" t="s">
        <v>416</v>
      </c>
      <c r="C25" s="326" t="s">
        <v>416</v>
      </c>
      <c r="D25" s="326" t="s">
        <v>417</v>
      </c>
      <c r="E25" s="326" t="s">
        <v>418</v>
      </c>
      <c r="F25" s="326"/>
      <c r="G25" s="327">
        <v>0</v>
      </c>
      <c r="H25" s="326" t="s">
        <v>419</v>
      </c>
      <c r="I25" s="326" t="s">
        <v>307</v>
      </c>
      <c r="J25" s="326" t="s">
        <v>420</v>
      </c>
      <c r="K25" s="326"/>
      <c r="L25" s="326" t="s">
        <v>421</v>
      </c>
      <c r="M25" s="326" t="s">
        <v>422</v>
      </c>
      <c r="N25" s="326">
        <v>120640</v>
      </c>
      <c r="O25" s="326">
        <v>83924</v>
      </c>
      <c r="P25" s="326">
        <v>0</v>
      </c>
      <c r="Q25" s="326" t="s">
        <v>423</v>
      </c>
      <c r="R25" s="326">
        <v>1</v>
      </c>
      <c r="S25" s="326">
        <v>1</v>
      </c>
      <c r="T25" s="326" t="s">
        <v>424</v>
      </c>
      <c r="U25" s="326">
        <v>5000</v>
      </c>
      <c r="V25" s="326">
        <v>0</v>
      </c>
      <c r="W25" s="326">
        <v>2</v>
      </c>
      <c r="X25" s="326">
        <v>0</v>
      </c>
      <c r="Y25" s="326" t="s">
        <v>425</v>
      </c>
      <c r="Z25" s="326" t="str">
        <f t="shared" si="0"/>
        <v>Duplex, Triplex, Fourplex</v>
      </c>
      <c r="AA25" s="326" t="s">
        <v>300</v>
      </c>
      <c r="AB25" s="326" t="s">
        <v>301</v>
      </c>
      <c r="AC25" s="326" t="s">
        <v>351</v>
      </c>
      <c r="AD25" s="326" t="s">
        <v>302</v>
      </c>
      <c r="AE25" s="327">
        <v>0</v>
      </c>
      <c r="AF25" s="328" t="s">
        <v>195</v>
      </c>
      <c r="AG25" s="326">
        <v>10</v>
      </c>
      <c r="AH25" s="326">
        <v>10</v>
      </c>
      <c r="AI25" s="329">
        <v>4778.1284696499997</v>
      </c>
      <c r="AJ25" s="330">
        <f t="shared" si="1"/>
        <v>0.10969073621786042</v>
      </c>
      <c r="AK25" s="330" t="str">
        <f t="shared" si="2"/>
        <v>FZ no SLR</v>
      </c>
    </row>
    <row r="26" spans="1:37">
      <c r="A26" s="326">
        <v>176</v>
      </c>
      <c r="B26" s="326" t="s">
        <v>426</v>
      </c>
      <c r="C26" s="326" t="s">
        <v>426</v>
      </c>
      <c r="D26" s="326" t="s">
        <v>427</v>
      </c>
      <c r="E26" s="326" t="s">
        <v>428</v>
      </c>
      <c r="F26" s="326"/>
      <c r="G26" s="327">
        <v>0</v>
      </c>
      <c r="H26" s="326" t="s">
        <v>429</v>
      </c>
      <c r="I26" s="326" t="s">
        <v>294</v>
      </c>
      <c r="J26" s="326" t="s">
        <v>430</v>
      </c>
      <c r="K26" s="326"/>
      <c r="L26" s="326" t="s">
        <v>421</v>
      </c>
      <c r="M26" s="326" t="s">
        <v>422</v>
      </c>
      <c r="N26" s="326">
        <v>10973</v>
      </c>
      <c r="O26" s="326">
        <v>26374</v>
      </c>
      <c r="P26" s="326">
        <v>0</v>
      </c>
      <c r="Q26" s="326" t="s">
        <v>423</v>
      </c>
      <c r="R26" s="326">
        <v>1</v>
      </c>
      <c r="S26" s="326">
        <v>1</v>
      </c>
      <c r="T26" s="326" t="s">
        <v>431</v>
      </c>
      <c r="U26" s="326">
        <v>6400</v>
      </c>
      <c r="V26" s="326">
        <v>0</v>
      </c>
      <c r="W26" s="326">
        <v>2</v>
      </c>
      <c r="X26" s="326">
        <v>0</v>
      </c>
      <c r="Y26" s="326" t="s">
        <v>425</v>
      </c>
      <c r="Z26" s="326" t="str">
        <f t="shared" si="0"/>
        <v>Duplex, Triplex, Fourplex</v>
      </c>
      <c r="AA26" s="326" t="s">
        <v>300</v>
      </c>
      <c r="AB26" s="326" t="s">
        <v>301</v>
      </c>
      <c r="AC26" s="326" t="s">
        <v>351</v>
      </c>
      <c r="AD26" s="326" t="s">
        <v>302</v>
      </c>
      <c r="AE26" s="327">
        <v>0</v>
      </c>
      <c r="AF26" s="328" t="s">
        <v>195</v>
      </c>
      <c r="AG26" s="326">
        <v>10</v>
      </c>
      <c r="AH26" s="326">
        <v>10</v>
      </c>
      <c r="AI26" s="329">
        <v>6526.4879943400001</v>
      </c>
      <c r="AJ26" s="330">
        <f t="shared" si="1"/>
        <v>0.14982754807943066</v>
      </c>
      <c r="AK26" s="330" t="str">
        <f t="shared" si="2"/>
        <v>FZ no SLR</v>
      </c>
    </row>
    <row r="27" spans="1:37">
      <c r="A27" s="326">
        <v>316</v>
      </c>
      <c r="B27" s="326" t="s">
        <v>432</v>
      </c>
      <c r="C27" s="326" t="s">
        <v>432</v>
      </c>
      <c r="D27" s="326" t="s">
        <v>433</v>
      </c>
      <c r="E27" s="326" t="s">
        <v>434</v>
      </c>
      <c r="F27" s="326"/>
      <c r="G27" s="327">
        <v>0</v>
      </c>
      <c r="H27" s="326" t="s">
        <v>435</v>
      </c>
      <c r="I27" s="326" t="s">
        <v>307</v>
      </c>
      <c r="J27" s="326" t="s">
        <v>436</v>
      </c>
      <c r="K27" s="326"/>
      <c r="L27" s="326" t="s">
        <v>296</v>
      </c>
      <c r="M27" s="326" t="s">
        <v>297</v>
      </c>
      <c r="N27" s="326">
        <v>87800</v>
      </c>
      <c r="O27" s="326">
        <v>212200</v>
      </c>
      <c r="P27" s="326">
        <v>0</v>
      </c>
      <c r="Q27" s="326" t="s">
        <v>423</v>
      </c>
      <c r="R27" s="326">
        <v>1</v>
      </c>
      <c r="S27" s="326">
        <v>1</v>
      </c>
      <c r="T27" s="326" t="s">
        <v>437</v>
      </c>
      <c r="U27" s="326">
        <v>4800</v>
      </c>
      <c r="V27" s="326">
        <v>0</v>
      </c>
      <c r="W27" s="326">
        <v>2</v>
      </c>
      <c r="X27" s="326">
        <v>0</v>
      </c>
      <c r="Y27" s="326" t="s">
        <v>425</v>
      </c>
      <c r="Z27" s="326" t="str">
        <f t="shared" si="0"/>
        <v>Duplex, Triplex, Fourplex</v>
      </c>
      <c r="AA27" s="326" t="s">
        <v>300</v>
      </c>
      <c r="AB27" s="326" t="s">
        <v>301</v>
      </c>
      <c r="AC27" s="326" t="s">
        <v>438</v>
      </c>
      <c r="AD27" s="326" t="s">
        <v>302</v>
      </c>
      <c r="AE27" s="327">
        <v>-9999</v>
      </c>
      <c r="AF27" s="328" t="s">
        <v>195</v>
      </c>
      <c r="AG27" s="326">
        <v>10</v>
      </c>
      <c r="AH27" s="326">
        <v>10</v>
      </c>
      <c r="AI27" s="329">
        <v>4717.7058033699996</v>
      </c>
      <c r="AJ27" s="330">
        <f t="shared" si="1"/>
        <v>0.10830362266689622</v>
      </c>
      <c r="AK27" s="330" t="str">
        <f t="shared" si="2"/>
        <v>FZ no SLR</v>
      </c>
    </row>
    <row r="28" spans="1:37">
      <c r="A28" s="326">
        <v>411</v>
      </c>
      <c r="B28" s="326" t="s">
        <v>439</v>
      </c>
      <c r="C28" s="326" t="s">
        <v>439</v>
      </c>
      <c r="D28" s="326" t="s">
        <v>440</v>
      </c>
      <c r="E28" s="326" t="s">
        <v>441</v>
      </c>
      <c r="F28" s="326"/>
      <c r="G28" s="327">
        <v>0</v>
      </c>
      <c r="H28" s="326" t="s">
        <v>341</v>
      </c>
      <c r="I28" s="326" t="s">
        <v>307</v>
      </c>
      <c r="J28" s="326" t="s">
        <v>442</v>
      </c>
      <c r="K28" s="326"/>
      <c r="L28" s="326" t="s">
        <v>309</v>
      </c>
      <c r="M28" s="326" t="s">
        <v>310</v>
      </c>
      <c r="N28" s="326">
        <v>71816</v>
      </c>
      <c r="O28" s="326">
        <v>279142</v>
      </c>
      <c r="P28" s="326">
        <v>0</v>
      </c>
      <c r="Q28" s="326" t="s">
        <v>423</v>
      </c>
      <c r="R28" s="326">
        <v>1</v>
      </c>
      <c r="S28" s="326">
        <v>1</v>
      </c>
      <c r="T28" s="326" t="s">
        <v>443</v>
      </c>
      <c r="U28" s="326">
        <v>6050</v>
      </c>
      <c r="V28" s="326">
        <v>0</v>
      </c>
      <c r="W28" s="326">
        <v>2</v>
      </c>
      <c r="X28" s="326">
        <v>0</v>
      </c>
      <c r="Y28" s="326" t="s">
        <v>425</v>
      </c>
      <c r="Z28" s="326" t="str">
        <f t="shared" si="0"/>
        <v>Duplex, Triplex, Fourplex</v>
      </c>
      <c r="AA28" s="326" t="s">
        <v>300</v>
      </c>
      <c r="AB28" s="326" t="s">
        <v>301</v>
      </c>
      <c r="AC28" s="326"/>
      <c r="AD28" s="326" t="s">
        <v>302</v>
      </c>
      <c r="AE28" s="327">
        <v>-9999</v>
      </c>
      <c r="AF28" s="328" t="s">
        <v>204</v>
      </c>
      <c r="AG28" s="326">
        <v>10</v>
      </c>
      <c r="AH28" s="326">
        <v>10</v>
      </c>
      <c r="AI28" s="329">
        <v>6052.60923482</v>
      </c>
      <c r="AJ28" s="330">
        <f t="shared" si="1"/>
        <v>0.13894878867814509</v>
      </c>
      <c r="AK28" s="330" t="str">
        <f t="shared" si="2"/>
        <v>FZ no SLR</v>
      </c>
    </row>
    <row r="29" spans="1:37">
      <c r="A29" s="326">
        <v>414</v>
      </c>
      <c r="B29" s="326" t="s">
        <v>444</v>
      </c>
      <c r="C29" s="326" t="s">
        <v>444</v>
      </c>
      <c r="D29" s="326" t="s">
        <v>445</v>
      </c>
      <c r="E29" s="326" t="s">
        <v>446</v>
      </c>
      <c r="F29" s="326"/>
      <c r="G29" s="327">
        <v>0</v>
      </c>
      <c r="H29" s="326" t="s">
        <v>341</v>
      </c>
      <c r="I29" s="326" t="s">
        <v>307</v>
      </c>
      <c r="J29" s="326" t="s">
        <v>447</v>
      </c>
      <c r="K29" s="326"/>
      <c r="L29" s="326" t="s">
        <v>309</v>
      </c>
      <c r="M29" s="326" t="s">
        <v>310</v>
      </c>
      <c r="N29" s="326">
        <v>138900</v>
      </c>
      <c r="O29" s="326">
        <v>191100</v>
      </c>
      <c r="P29" s="326">
        <v>0</v>
      </c>
      <c r="Q29" s="326" t="s">
        <v>423</v>
      </c>
      <c r="R29" s="326">
        <v>1</v>
      </c>
      <c r="S29" s="326">
        <v>1</v>
      </c>
      <c r="T29" s="326" t="s">
        <v>448</v>
      </c>
      <c r="U29" s="326">
        <v>5000</v>
      </c>
      <c r="V29" s="326">
        <v>0</v>
      </c>
      <c r="W29" s="326">
        <v>2</v>
      </c>
      <c r="X29" s="326">
        <v>0</v>
      </c>
      <c r="Y29" s="326" t="s">
        <v>425</v>
      </c>
      <c r="Z29" s="326" t="str">
        <f t="shared" si="0"/>
        <v>Duplex, Triplex, Fourplex</v>
      </c>
      <c r="AA29" s="326" t="s">
        <v>300</v>
      </c>
      <c r="AB29" s="326" t="s">
        <v>301</v>
      </c>
      <c r="AC29" s="326"/>
      <c r="AD29" s="326" t="s">
        <v>302</v>
      </c>
      <c r="AE29" s="327">
        <v>-9999</v>
      </c>
      <c r="AF29" s="328" t="s">
        <v>204</v>
      </c>
      <c r="AG29" s="326">
        <v>10</v>
      </c>
      <c r="AH29" s="326">
        <v>10</v>
      </c>
      <c r="AI29" s="329">
        <v>4924.7727876099998</v>
      </c>
      <c r="AJ29" s="330">
        <f t="shared" si="1"/>
        <v>0.11305722652915519</v>
      </c>
      <c r="AK29" s="330" t="str">
        <f t="shared" si="2"/>
        <v>FZ no SLR</v>
      </c>
    </row>
    <row r="30" spans="1:37">
      <c r="A30" s="326">
        <v>416</v>
      </c>
      <c r="B30" s="326" t="s">
        <v>449</v>
      </c>
      <c r="C30" s="326" t="s">
        <v>449</v>
      </c>
      <c r="D30" s="326" t="s">
        <v>450</v>
      </c>
      <c r="E30" s="326" t="s">
        <v>451</v>
      </c>
      <c r="F30" s="326"/>
      <c r="G30" s="327">
        <v>0</v>
      </c>
      <c r="H30" s="326" t="s">
        <v>376</v>
      </c>
      <c r="I30" s="326" t="s">
        <v>307</v>
      </c>
      <c r="J30" s="326" t="s">
        <v>452</v>
      </c>
      <c r="K30" s="326"/>
      <c r="L30" s="326" t="s">
        <v>309</v>
      </c>
      <c r="M30" s="326" t="s">
        <v>310</v>
      </c>
      <c r="N30" s="326">
        <v>228800</v>
      </c>
      <c r="O30" s="326">
        <v>121200</v>
      </c>
      <c r="P30" s="326">
        <v>0</v>
      </c>
      <c r="Q30" s="326" t="s">
        <v>423</v>
      </c>
      <c r="R30" s="326">
        <v>1</v>
      </c>
      <c r="S30" s="326">
        <v>1</v>
      </c>
      <c r="T30" s="326" t="s">
        <v>453</v>
      </c>
      <c r="U30" s="326">
        <v>5000</v>
      </c>
      <c r="V30" s="326">
        <v>0</v>
      </c>
      <c r="W30" s="326">
        <v>2</v>
      </c>
      <c r="X30" s="326">
        <v>0</v>
      </c>
      <c r="Y30" s="326" t="s">
        <v>425</v>
      </c>
      <c r="Z30" s="326" t="str">
        <f t="shared" si="0"/>
        <v>Duplex, Triplex, Fourplex</v>
      </c>
      <c r="AA30" s="326" t="s">
        <v>300</v>
      </c>
      <c r="AB30" s="326" t="s">
        <v>301</v>
      </c>
      <c r="AC30" s="326"/>
      <c r="AD30" s="326" t="s">
        <v>302</v>
      </c>
      <c r="AE30" s="327">
        <v>-9999</v>
      </c>
      <c r="AF30" s="328" t="s">
        <v>204</v>
      </c>
      <c r="AG30" s="326">
        <v>10</v>
      </c>
      <c r="AH30" s="326">
        <v>10</v>
      </c>
      <c r="AI30" s="329">
        <v>4970.6626908500002</v>
      </c>
      <c r="AJ30" s="330">
        <f t="shared" si="1"/>
        <v>0.11411071374770432</v>
      </c>
      <c r="AK30" s="330" t="str">
        <f t="shared" si="2"/>
        <v>FZ no SLR</v>
      </c>
    </row>
    <row r="31" spans="1:37">
      <c r="A31" s="326">
        <v>430</v>
      </c>
      <c r="B31" s="326" t="s">
        <v>454</v>
      </c>
      <c r="C31" s="326" t="s">
        <v>454</v>
      </c>
      <c r="D31" s="326" t="s">
        <v>455</v>
      </c>
      <c r="E31" s="326" t="s">
        <v>456</v>
      </c>
      <c r="F31" s="326"/>
      <c r="G31" s="327">
        <v>0</v>
      </c>
      <c r="H31" s="326" t="s">
        <v>457</v>
      </c>
      <c r="I31" s="326" t="s">
        <v>307</v>
      </c>
      <c r="J31" s="326" t="s">
        <v>381</v>
      </c>
      <c r="K31" s="326"/>
      <c r="L31" s="326" t="s">
        <v>309</v>
      </c>
      <c r="M31" s="326" t="s">
        <v>310</v>
      </c>
      <c r="N31" s="326">
        <v>23734</v>
      </c>
      <c r="O31" s="326">
        <v>26812</v>
      </c>
      <c r="P31" s="326">
        <v>0</v>
      </c>
      <c r="Q31" s="326" t="s">
        <v>423</v>
      </c>
      <c r="R31" s="326">
        <v>1</v>
      </c>
      <c r="S31" s="326">
        <v>1</v>
      </c>
      <c r="T31" s="326" t="s">
        <v>458</v>
      </c>
      <c r="U31" s="326">
        <v>5000</v>
      </c>
      <c r="V31" s="326">
        <v>0</v>
      </c>
      <c r="W31" s="326">
        <v>2</v>
      </c>
      <c r="X31" s="326">
        <v>0</v>
      </c>
      <c r="Y31" s="326" t="s">
        <v>425</v>
      </c>
      <c r="Z31" s="326" t="str">
        <f t="shared" si="0"/>
        <v>Duplex, Triplex, Fourplex</v>
      </c>
      <c r="AA31" s="326" t="s">
        <v>300</v>
      </c>
      <c r="AB31" s="326" t="s">
        <v>301</v>
      </c>
      <c r="AC31" s="326"/>
      <c r="AD31" s="326" t="s">
        <v>302</v>
      </c>
      <c r="AE31" s="327">
        <v>-9999</v>
      </c>
      <c r="AF31" s="328" t="s">
        <v>204</v>
      </c>
      <c r="AG31" s="326">
        <v>10</v>
      </c>
      <c r="AH31" s="326">
        <v>10</v>
      </c>
      <c r="AI31" s="329">
        <v>5109.7449342899999</v>
      </c>
      <c r="AJ31" s="330">
        <f t="shared" si="1"/>
        <v>0.11730360271556474</v>
      </c>
      <c r="AK31" s="330" t="str">
        <f t="shared" si="2"/>
        <v>FZ no SLR</v>
      </c>
    </row>
    <row r="32" spans="1:37">
      <c r="A32" s="326">
        <v>434</v>
      </c>
      <c r="B32" s="326" t="s">
        <v>459</v>
      </c>
      <c r="C32" s="326" t="s">
        <v>459</v>
      </c>
      <c r="D32" s="326" t="s">
        <v>460</v>
      </c>
      <c r="E32" s="326" t="s">
        <v>461</v>
      </c>
      <c r="F32" s="326"/>
      <c r="G32" s="327">
        <v>0</v>
      </c>
      <c r="H32" s="326" t="s">
        <v>462</v>
      </c>
      <c r="I32" s="326" t="s">
        <v>294</v>
      </c>
      <c r="J32" s="326" t="s">
        <v>463</v>
      </c>
      <c r="K32" s="326"/>
      <c r="L32" s="326" t="s">
        <v>309</v>
      </c>
      <c r="M32" s="326" t="s">
        <v>310</v>
      </c>
      <c r="N32" s="326">
        <v>24483</v>
      </c>
      <c r="O32" s="326">
        <v>85073</v>
      </c>
      <c r="P32" s="326">
        <v>0</v>
      </c>
      <c r="Q32" s="326" t="s">
        <v>423</v>
      </c>
      <c r="R32" s="326">
        <v>1</v>
      </c>
      <c r="S32" s="326">
        <v>1</v>
      </c>
      <c r="T32" s="326" t="s">
        <v>464</v>
      </c>
      <c r="U32" s="326">
        <v>5000</v>
      </c>
      <c r="V32" s="326">
        <v>0</v>
      </c>
      <c r="W32" s="326">
        <v>2</v>
      </c>
      <c r="X32" s="326">
        <v>0</v>
      </c>
      <c r="Y32" s="326" t="s">
        <v>425</v>
      </c>
      <c r="Z32" s="326" t="str">
        <f t="shared" si="0"/>
        <v>Duplex, Triplex, Fourplex</v>
      </c>
      <c r="AA32" s="326" t="s">
        <v>300</v>
      </c>
      <c r="AB32" s="326" t="s">
        <v>301</v>
      </c>
      <c r="AC32" s="326"/>
      <c r="AD32" s="326" t="s">
        <v>302</v>
      </c>
      <c r="AE32" s="327">
        <v>-9999</v>
      </c>
      <c r="AF32" s="328" t="s">
        <v>204</v>
      </c>
      <c r="AG32" s="326">
        <v>10</v>
      </c>
      <c r="AH32" s="326">
        <v>10</v>
      </c>
      <c r="AI32" s="329">
        <v>4988.0325669699996</v>
      </c>
      <c r="AJ32" s="330">
        <f t="shared" si="1"/>
        <v>0.11450947123438934</v>
      </c>
      <c r="AK32" s="330" t="str">
        <f t="shared" si="2"/>
        <v>FZ no SLR</v>
      </c>
    </row>
    <row r="33" spans="1:42">
      <c r="A33" s="326">
        <v>435</v>
      </c>
      <c r="B33" s="326" t="s">
        <v>465</v>
      </c>
      <c r="C33" s="326" t="s">
        <v>465</v>
      </c>
      <c r="D33" s="326" t="s">
        <v>466</v>
      </c>
      <c r="E33" s="326" t="s">
        <v>467</v>
      </c>
      <c r="F33" s="326"/>
      <c r="G33" s="327">
        <v>0</v>
      </c>
      <c r="H33" s="326" t="s">
        <v>362</v>
      </c>
      <c r="I33" s="326" t="s">
        <v>307</v>
      </c>
      <c r="J33" s="326" t="s">
        <v>468</v>
      </c>
      <c r="K33" s="326"/>
      <c r="L33" s="326" t="s">
        <v>309</v>
      </c>
      <c r="M33" s="326" t="s">
        <v>310</v>
      </c>
      <c r="N33" s="326">
        <v>200000</v>
      </c>
      <c r="O33" s="326">
        <v>245000</v>
      </c>
      <c r="P33" s="326">
        <v>0</v>
      </c>
      <c r="Q33" s="326" t="s">
        <v>423</v>
      </c>
      <c r="R33" s="326">
        <v>1</v>
      </c>
      <c r="S33" s="326">
        <v>1</v>
      </c>
      <c r="T33" s="326" t="s">
        <v>469</v>
      </c>
      <c r="U33" s="326">
        <v>3800</v>
      </c>
      <c r="V33" s="326">
        <v>0</v>
      </c>
      <c r="W33" s="326">
        <v>2</v>
      </c>
      <c r="X33" s="326">
        <v>0</v>
      </c>
      <c r="Y33" s="326" t="s">
        <v>425</v>
      </c>
      <c r="Z33" s="326" t="str">
        <f t="shared" si="0"/>
        <v>Duplex, Triplex, Fourplex</v>
      </c>
      <c r="AA33" s="326" t="s">
        <v>300</v>
      </c>
      <c r="AB33" s="326" t="s">
        <v>301</v>
      </c>
      <c r="AC33" s="326"/>
      <c r="AD33" s="326" t="s">
        <v>302</v>
      </c>
      <c r="AE33" s="327">
        <v>-9999</v>
      </c>
      <c r="AF33" s="328" t="s">
        <v>204</v>
      </c>
      <c r="AG33" s="326">
        <v>10</v>
      </c>
      <c r="AH33" s="326">
        <v>10</v>
      </c>
      <c r="AI33" s="329">
        <v>3729.4916850300001</v>
      </c>
      <c r="AJ33" s="330">
        <f t="shared" si="1"/>
        <v>8.5617348141184574E-2</v>
      </c>
      <c r="AK33" s="330" t="str">
        <f t="shared" si="2"/>
        <v>FZ no SLR</v>
      </c>
    </row>
    <row r="34" spans="1:42">
      <c r="A34" s="326">
        <v>437</v>
      </c>
      <c r="B34" s="326" t="s">
        <v>470</v>
      </c>
      <c r="C34" s="326" t="s">
        <v>470</v>
      </c>
      <c r="D34" s="326" t="s">
        <v>471</v>
      </c>
      <c r="E34" s="326" t="s">
        <v>472</v>
      </c>
      <c r="F34" s="326"/>
      <c r="G34" s="327">
        <v>0</v>
      </c>
      <c r="H34" s="326" t="s">
        <v>462</v>
      </c>
      <c r="I34" s="326" t="s">
        <v>294</v>
      </c>
      <c r="J34" s="326" t="s">
        <v>473</v>
      </c>
      <c r="K34" s="326"/>
      <c r="L34" s="326" t="s">
        <v>309</v>
      </c>
      <c r="M34" s="326" t="s">
        <v>310</v>
      </c>
      <c r="N34" s="326">
        <v>150718</v>
      </c>
      <c r="O34" s="326">
        <v>68498</v>
      </c>
      <c r="P34" s="326">
        <v>0</v>
      </c>
      <c r="Q34" s="326" t="s">
        <v>423</v>
      </c>
      <c r="R34" s="326">
        <v>1</v>
      </c>
      <c r="S34" s="326">
        <v>1</v>
      </c>
      <c r="T34" s="326" t="s">
        <v>453</v>
      </c>
      <c r="U34" s="326">
        <v>5400</v>
      </c>
      <c r="V34" s="326">
        <v>0</v>
      </c>
      <c r="W34" s="326">
        <v>2</v>
      </c>
      <c r="X34" s="326">
        <v>0</v>
      </c>
      <c r="Y34" s="326" t="s">
        <v>425</v>
      </c>
      <c r="Z34" s="326" t="str">
        <f t="shared" si="0"/>
        <v>Duplex, Triplex, Fourplex</v>
      </c>
      <c r="AA34" s="326" t="s">
        <v>300</v>
      </c>
      <c r="AB34" s="326" t="s">
        <v>301</v>
      </c>
      <c r="AC34" s="326"/>
      <c r="AD34" s="326" t="s">
        <v>302</v>
      </c>
      <c r="AE34" s="327">
        <v>-9999</v>
      </c>
      <c r="AF34" s="328" t="s">
        <v>204</v>
      </c>
      <c r="AG34" s="326">
        <v>10</v>
      </c>
      <c r="AH34" s="326">
        <v>10</v>
      </c>
      <c r="AI34" s="329">
        <v>5334.0129295200004</v>
      </c>
      <c r="AJ34" s="330">
        <f t="shared" si="1"/>
        <v>0.12245208745454546</v>
      </c>
      <c r="AK34" s="330" t="str">
        <f t="shared" si="2"/>
        <v>FZ no SLR</v>
      </c>
    </row>
    <row r="35" spans="1:42">
      <c r="A35" s="326">
        <v>438</v>
      </c>
      <c r="B35" s="326" t="s">
        <v>474</v>
      </c>
      <c r="C35" s="326" t="s">
        <v>474</v>
      </c>
      <c r="D35" s="326" t="s">
        <v>475</v>
      </c>
      <c r="E35" s="326" t="s">
        <v>476</v>
      </c>
      <c r="F35" s="326"/>
      <c r="G35" s="327">
        <v>0</v>
      </c>
      <c r="H35" s="326" t="s">
        <v>462</v>
      </c>
      <c r="I35" s="326" t="s">
        <v>294</v>
      </c>
      <c r="J35" s="326" t="s">
        <v>477</v>
      </c>
      <c r="K35" s="326"/>
      <c r="L35" s="326" t="s">
        <v>309</v>
      </c>
      <c r="M35" s="326" t="s">
        <v>310</v>
      </c>
      <c r="N35" s="326">
        <v>135404</v>
      </c>
      <c r="O35" s="326">
        <v>51401</v>
      </c>
      <c r="P35" s="326">
        <v>0</v>
      </c>
      <c r="Q35" s="326" t="s">
        <v>423</v>
      </c>
      <c r="R35" s="326">
        <v>1</v>
      </c>
      <c r="S35" s="326">
        <v>1</v>
      </c>
      <c r="T35" s="326" t="s">
        <v>478</v>
      </c>
      <c r="U35" s="326">
        <v>4600</v>
      </c>
      <c r="V35" s="326">
        <v>0</v>
      </c>
      <c r="W35" s="326">
        <v>2</v>
      </c>
      <c r="X35" s="326">
        <v>0</v>
      </c>
      <c r="Y35" s="326" t="s">
        <v>425</v>
      </c>
      <c r="Z35" s="326" t="str">
        <f t="shared" si="0"/>
        <v>Duplex, Triplex, Fourplex</v>
      </c>
      <c r="AA35" s="326" t="s">
        <v>300</v>
      </c>
      <c r="AB35" s="326" t="s">
        <v>301</v>
      </c>
      <c r="AC35" s="326"/>
      <c r="AD35" s="326" t="s">
        <v>302</v>
      </c>
      <c r="AE35" s="327">
        <v>-9999</v>
      </c>
      <c r="AF35" s="328" t="s">
        <v>204</v>
      </c>
      <c r="AG35" s="326">
        <v>10</v>
      </c>
      <c r="AH35" s="326">
        <v>10</v>
      </c>
      <c r="AI35" s="329">
        <v>4583.0212563300001</v>
      </c>
      <c r="AJ35" s="330">
        <f t="shared" si="1"/>
        <v>0.10521169091666667</v>
      </c>
      <c r="AK35" s="330" t="str">
        <f t="shared" si="2"/>
        <v>FZ no SLR</v>
      </c>
      <c r="AP35" s="204"/>
    </row>
    <row r="36" spans="1:42">
      <c r="A36" s="326">
        <v>474</v>
      </c>
      <c r="B36" s="326" t="s">
        <v>479</v>
      </c>
      <c r="C36" s="326" t="s">
        <v>479</v>
      </c>
      <c r="D36" s="326" t="s">
        <v>480</v>
      </c>
      <c r="E36" s="326" t="s">
        <v>481</v>
      </c>
      <c r="F36" s="326"/>
      <c r="G36" s="327">
        <v>0</v>
      </c>
      <c r="H36" s="326" t="s">
        <v>462</v>
      </c>
      <c r="I36" s="326" t="s">
        <v>294</v>
      </c>
      <c r="J36" s="326" t="s">
        <v>482</v>
      </c>
      <c r="K36" s="326"/>
      <c r="L36" s="326" t="s">
        <v>309</v>
      </c>
      <c r="M36" s="326" t="s">
        <v>310</v>
      </c>
      <c r="N36" s="326">
        <v>14248</v>
      </c>
      <c r="O36" s="326">
        <v>285253</v>
      </c>
      <c r="P36" s="326">
        <v>0</v>
      </c>
      <c r="Q36" s="326" t="s">
        <v>423</v>
      </c>
      <c r="R36" s="326">
        <v>1</v>
      </c>
      <c r="S36" s="326">
        <v>1</v>
      </c>
      <c r="T36" s="326" t="s">
        <v>483</v>
      </c>
      <c r="U36" s="326">
        <v>2500</v>
      </c>
      <c r="V36" s="326">
        <v>0</v>
      </c>
      <c r="W36" s="326">
        <v>2</v>
      </c>
      <c r="X36" s="326">
        <v>0</v>
      </c>
      <c r="Y36" s="326" t="s">
        <v>425</v>
      </c>
      <c r="Z36" s="326" t="str">
        <f t="shared" si="0"/>
        <v>Duplex, Triplex, Fourplex</v>
      </c>
      <c r="AA36" s="326" t="s">
        <v>300</v>
      </c>
      <c r="AB36" s="326" t="s">
        <v>301</v>
      </c>
      <c r="AC36" s="326" t="s">
        <v>359</v>
      </c>
      <c r="AD36" s="326" t="s">
        <v>302</v>
      </c>
      <c r="AE36" s="327">
        <v>-9999</v>
      </c>
      <c r="AF36" s="328" t="s">
        <v>204</v>
      </c>
      <c r="AG36" s="326">
        <v>10</v>
      </c>
      <c r="AH36" s="326">
        <v>10</v>
      </c>
      <c r="AI36" s="329">
        <v>2471.3598923599998</v>
      </c>
      <c r="AJ36" s="330">
        <f t="shared" si="1"/>
        <v>5.6734616445362714E-2</v>
      </c>
      <c r="AK36" s="330" t="str">
        <f t="shared" si="2"/>
        <v>FZ no SLR</v>
      </c>
    </row>
    <row r="37" spans="1:42">
      <c r="A37" s="326">
        <v>475</v>
      </c>
      <c r="B37" s="326" t="s">
        <v>484</v>
      </c>
      <c r="C37" s="326" t="s">
        <v>484</v>
      </c>
      <c r="D37" s="326" t="s">
        <v>485</v>
      </c>
      <c r="E37" s="326" t="s">
        <v>486</v>
      </c>
      <c r="F37" s="326"/>
      <c r="G37" s="327">
        <v>0</v>
      </c>
      <c r="H37" s="326" t="s">
        <v>487</v>
      </c>
      <c r="I37" s="326"/>
      <c r="J37" s="326" t="s">
        <v>488</v>
      </c>
      <c r="K37" s="326"/>
      <c r="L37" s="326" t="s">
        <v>309</v>
      </c>
      <c r="M37" s="326" t="s">
        <v>310</v>
      </c>
      <c r="N37" s="326">
        <v>236921</v>
      </c>
      <c r="O37" s="326">
        <v>105298</v>
      </c>
      <c r="P37" s="326">
        <v>0</v>
      </c>
      <c r="Q37" s="326" t="s">
        <v>423</v>
      </c>
      <c r="R37" s="326">
        <v>1</v>
      </c>
      <c r="S37" s="326">
        <v>1</v>
      </c>
      <c r="T37" s="326" t="s">
        <v>489</v>
      </c>
      <c r="U37" s="326">
        <v>5000</v>
      </c>
      <c r="V37" s="326">
        <v>0</v>
      </c>
      <c r="W37" s="326">
        <v>2</v>
      </c>
      <c r="X37" s="326">
        <v>0</v>
      </c>
      <c r="Y37" s="326" t="s">
        <v>425</v>
      </c>
      <c r="Z37" s="326" t="str">
        <f t="shared" si="0"/>
        <v>Duplex, Triplex, Fourplex</v>
      </c>
      <c r="AA37" s="326" t="s">
        <v>300</v>
      </c>
      <c r="AB37" s="326" t="s">
        <v>301</v>
      </c>
      <c r="AC37" s="326" t="s">
        <v>359</v>
      </c>
      <c r="AD37" s="326" t="s">
        <v>302</v>
      </c>
      <c r="AE37" s="327">
        <v>-9999</v>
      </c>
      <c r="AF37" s="328" t="s">
        <v>204</v>
      </c>
      <c r="AG37" s="326">
        <v>10</v>
      </c>
      <c r="AH37" s="326">
        <v>10</v>
      </c>
      <c r="AI37" s="329">
        <v>4943.6354648200004</v>
      </c>
      <c r="AJ37" s="330">
        <f t="shared" si="1"/>
        <v>0.11349025401331497</v>
      </c>
      <c r="AK37" s="330" t="str">
        <f t="shared" si="2"/>
        <v>FZ no SLR</v>
      </c>
    </row>
    <row r="38" spans="1:42">
      <c r="A38" s="326">
        <v>1095</v>
      </c>
      <c r="B38" s="326" t="s">
        <v>490</v>
      </c>
      <c r="C38" s="326" t="s">
        <v>490</v>
      </c>
      <c r="D38" s="326" t="s">
        <v>365</v>
      </c>
      <c r="E38" s="326" t="s">
        <v>491</v>
      </c>
      <c r="F38" s="326"/>
      <c r="G38" s="327">
        <v>0</v>
      </c>
      <c r="H38" s="326" t="s">
        <v>367</v>
      </c>
      <c r="I38" s="326" t="s">
        <v>307</v>
      </c>
      <c r="J38" s="326" t="s">
        <v>492</v>
      </c>
      <c r="K38" s="326"/>
      <c r="L38" s="326" t="s">
        <v>369</v>
      </c>
      <c r="M38" s="326" t="s">
        <v>370</v>
      </c>
      <c r="N38" s="326">
        <v>152184</v>
      </c>
      <c r="O38" s="326">
        <v>97622</v>
      </c>
      <c r="P38" s="326">
        <v>0</v>
      </c>
      <c r="Q38" s="326" t="s">
        <v>423</v>
      </c>
      <c r="R38" s="326">
        <v>1</v>
      </c>
      <c r="S38" s="326">
        <v>1</v>
      </c>
      <c r="T38" s="326" t="s">
        <v>493</v>
      </c>
      <c r="U38" s="326">
        <v>9525</v>
      </c>
      <c r="V38" s="326">
        <v>0</v>
      </c>
      <c r="W38" s="326">
        <v>2</v>
      </c>
      <c r="X38" s="326">
        <v>0</v>
      </c>
      <c r="Y38" s="326" t="s">
        <v>425</v>
      </c>
      <c r="Z38" s="326" t="str">
        <f t="shared" si="0"/>
        <v>Duplex, Triplex, Fourplex</v>
      </c>
      <c r="AA38" s="326" t="s">
        <v>300</v>
      </c>
      <c r="AB38" s="326" t="s">
        <v>301</v>
      </c>
      <c r="AC38" s="326"/>
      <c r="AD38" s="326" t="s">
        <v>302</v>
      </c>
      <c r="AE38" s="327">
        <v>-9999</v>
      </c>
      <c r="AF38" s="328" t="s">
        <v>186</v>
      </c>
      <c r="AG38" s="326">
        <v>10</v>
      </c>
      <c r="AH38" s="326">
        <v>6</v>
      </c>
      <c r="AI38" s="329">
        <v>9562.8226869299997</v>
      </c>
      <c r="AJ38" s="330">
        <f t="shared" si="1"/>
        <v>0.21953220126101927</v>
      </c>
      <c r="AK38" s="330" t="str">
        <f t="shared" si="2"/>
        <v>FZ no SLR</v>
      </c>
    </row>
    <row r="39" spans="1:42">
      <c r="A39" s="326">
        <v>485</v>
      </c>
      <c r="B39" s="326" t="s">
        <v>494</v>
      </c>
      <c r="C39" s="326" t="s">
        <v>494</v>
      </c>
      <c r="D39" s="326" t="s">
        <v>495</v>
      </c>
      <c r="E39" s="326" t="s">
        <v>496</v>
      </c>
      <c r="F39" s="326"/>
      <c r="G39" s="327">
        <v>0</v>
      </c>
      <c r="H39" s="326" t="s">
        <v>314</v>
      </c>
      <c r="I39" s="326" t="s">
        <v>307</v>
      </c>
      <c r="J39" s="326" t="s">
        <v>497</v>
      </c>
      <c r="K39" s="326"/>
      <c r="L39" s="326" t="s">
        <v>309</v>
      </c>
      <c r="M39" s="326" t="s">
        <v>310</v>
      </c>
      <c r="N39" s="326">
        <v>19975</v>
      </c>
      <c r="O39" s="326">
        <v>13967</v>
      </c>
      <c r="P39" s="326">
        <v>0</v>
      </c>
      <c r="Q39" s="326" t="s">
        <v>298</v>
      </c>
      <c r="R39" s="326">
        <v>0</v>
      </c>
      <c r="S39" s="326">
        <v>3</v>
      </c>
      <c r="T39" s="326"/>
      <c r="U39" s="326">
        <v>0</v>
      </c>
      <c r="V39" s="326">
        <v>1</v>
      </c>
      <c r="W39" s="326">
        <v>3</v>
      </c>
      <c r="X39" s="326">
        <v>1629</v>
      </c>
      <c r="Y39" s="326" t="s">
        <v>498</v>
      </c>
      <c r="Z39" s="326" t="str">
        <f t="shared" si="0"/>
        <v>Duplex, Triplex, Fourplex</v>
      </c>
      <c r="AA39" s="326" t="s">
        <v>300</v>
      </c>
      <c r="AB39" s="326" t="s">
        <v>301</v>
      </c>
      <c r="AC39" s="326"/>
      <c r="AD39" s="326" t="s">
        <v>302</v>
      </c>
      <c r="AE39" s="327">
        <v>-9999</v>
      </c>
      <c r="AF39" s="328" t="s">
        <v>204</v>
      </c>
      <c r="AG39" s="326">
        <v>10</v>
      </c>
      <c r="AH39" s="326">
        <v>10</v>
      </c>
      <c r="AI39" s="329">
        <v>4888.97109198</v>
      </c>
      <c r="AJ39" s="330">
        <f t="shared" si="1"/>
        <v>0.11223533269008265</v>
      </c>
      <c r="AK39" s="330" t="str">
        <f t="shared" si="2"/>
        <v>FZ no SLR</v>
      </c>
    </row>
    <row r="40" spans="1:42">
      <c r="A40" s="326">
        <v>418</v>
      </c>
      <c r="B40" s="326" t="s">
        <v>499</v>
      </c>
      <c r="C40" s="326" t="s">
        <v>499</v>
      </c>
      <c r="D40" s="326" t="s">
        <v>500</v>
      </c>
      <c r="E40" s="326" t="s">
        <v>501</v>
      </c>
      <c r="F40" s="326"/>
      <c r="G40" s="327">
        <v>0</v>
      </c>
      <c r="H40" s="326" t="s">
        <v>341</v>
      </c>
      <c r="I40" s="326" t="s">
        <v>307</v>
      </c>
      <c r="J40" s="326" t="s">
        <v>502</v>
      </c>
      <c r="K40" s="326"/>
      <c r="L40" s="326" t="s">
        <v>309</v>
      </c>
      <c r="M40" s="326" t="s">
        <v>310</v>
      </c>
      <c r="N40" s="326">
        <v>119900</v>
      </c>
      <c r="O40" s="326">
        <v>240100</v>
      </c>
      <c r="P40" s="326">
        <v>0</v>
      </c>
      <c r="Q40" s="326" t="s">
        <v>298</v>
      </c>
      <c r="R40" s="326">
        <v>1</v>
      </c>
      <c r="S40" s="326">
        <v>1</v>
      </c>
      <c r="T40" s="326"/>
      <c r="U40" s="326">
        <v>0</v>
      </c>
      <c r="V40" s="326">
        <v>2</v>
      </c>
      <c r="W40" s="326">
        <v>3</v>
      </c>
      <c r="X40" s="326">
        <v>2274</v>
      </c>
      <c r="Y40" s="326" t="s">
        <v>503</v>
      </c>
      <c r="Z40" s="326" t="str">
        <f t="shared" si="0"/>
        <v>Duplex, Triplex, Fourplex</v>
      </c>
      <c r="AA40" s="326" t="s">
        <v>300</v>
      </c>
      <c r="AB40" s="326" t="s">
        <v>301</v>
      </c>
      <c r="AC40" s="326"/>
      <c r="AD40" s="326" t="s">
        <v>302</v>
      </c>
      <c r="AE40" s="327">
        <v>-9999</v>
      </c>
      <c r="AF40" s="328" t="s">
        <v>204</v>
      </c>
      <c r="AG40" s="326">
        <v>10</v>
      </c>
      <c r="AH40" s="326">
        <v>10</v>
      </c>
      <c r="AI40" s="329">
        <v>3032.48449936</v>
      </c>
      <c r="AJ40" s="330">
        <f t="shared" si="1"/>
        <v>6.9616264907254366E-2</v>
      </c>
      <c r="AK40" s="330" t="str">
        <f t="shared" si="2"/>
        <v>FZ no SLR</v>
      </c>
    </row>
    <row r="41" spans="1:42">
      <c r="A41" s="326">
        <v>456</v>
      </c>
      <c r="B41" s="326" t="s">
        <v>504</v>
      </c>
      <c r="C41" s="326" t="s">
        <v>504</v>
      </c>
      <c r="D41" s="326" t="s">
        <v>505</v>
      </c>
      <c r="E41" s="326" t="s">
        <v>506</v>
      </c>
      <c r="F41" s="326"/>
      <c r="G41" s="327">
        <v>0.115</v>
      </c>
      <c r="H41" s="326" t="s">
        <v>507</v>
      </c>
      <c r="I41" s="326" t="s">
        <v>307</v>
      </c>
      <c r="J41" s="326" t="s">
        <v>508</v>
      </c>
      <c r="K41" s="326"/>
      <c r="L41" s="326" t="s">
        <v>309</v>
      </c>
      <c r="M41" s="326" t="s">
        <v>310</v>
      </c>
      <c r="N41" s="326">
        <v>119499</v>
      </c>
      <c r="O41" s="326">
        <v>142499</v>
      </c>
      <c r="P41" s="326">
        <v>0</v>
      </c>
      <c r="Q41" s="326" t="s">
        <v>298</v>
      </c>
      <c r="R41" s="326">
        <v>1</v>
      </c>
      <c r="S41" s="326">
        <v>1</v>
      </c>
      <c r="T41" s="326"/>
      <c r="U41" s="326">
        <v>0</v>
      </c>
      <c r="V41" s="326">
        <v>2</v>
      </c>
      <c r="W41" s="326">
        <v>3</v>
      </c>
      <c r="X41" s="326">
        <v>1512</v>
      </c>
      <c r="Y41" s="326" t="s">
        <v>503</v>
      </c>
      <c r="Z41" s="326" t="str">
        <f t="shared" si="0"/>
        <v>Duplex, Triplex, Fourplex</v>
      </c>
      <c r="AA41" s="326" t="s">
        <v>300</v>
      </c>
      <c r="AB41" s="326" t="s">
        <v>301</v>
      </c>
      <c r="AC41" s="326"/>
      <c r="AD41" s="326" t="s">
        <v>302</v>
      </c>
      <c r="AE41" s="327">
        <v>-9999</v>
      </c>
      <c r="AF41" s="328" t="s">
        <v>204</v>
      </c>
      <c r="AG41" s="326">
        <v>10</v>
      </c>
      <c r="AH41" s="326">
        <v>10</v>
      </c>
      <c r="AI41" s="329">
        <v>4804.2282841200004</v>
      </c>
      <c r="AJ41" s="330">
        <f t="shared" si="1"/>
        <v>0.1102899055123967</v>
      </c>
      <c r="AK41" s="330" t="str">
        <f t="shared" si="2"/>
        <v>FZ no SLR</v>
      </c>
    </row>
    <row r="42" spans="1:42">
      <c r="A42" s="326">
        <v>457</v>
      </c>
      <c r="B42" s="326" t="s">
        <v>509</v>
      </c>
      <c r="C42" s="326" t="s">
        <v>509</v>
      </c>
      <c r="D42" s="326" t="s">
        <v>510</v>
      </c>
      <c r="E42" s="326" t="s">
        <v>506</v>
      </c>
      <c r="F42" s="326"/>
      <c r="G42" s="327">
        <v>0.11600000000000001</v>
      </c>
      <c r="H42" s="326" t="s">
        <v>507</v>
      </c>
      <c r="I42" s="326" t="s">
        <v>307</v>
      </c>
      <c r="J42" s="326" t="s">
        <v>511</v>
      </c>
      <c r="K42" s="326"/>
      <c r="L42" s="326" t="s">
        <v>309</v>
      </c>
      <c r="M42" s="326" t="s">
        <v>310</v>
      </c>
      <c r="N42" s="326">
        <v>119499</v>
      </c>
      <c r="O42" s="326">
        <v>143417</v>
      </c>
      <c r="P42" s="326">
        <v>0</v>
      </c>
      <c r="Q42" s="326" t="s">
        <v>298</v>
      </c>
      <c r="R42" s="326">
        <v>1</v>
      </c>
      <c r="S42" s="326">
        <v>1</v>
      </c>
      <c r="T42" s="326"/>
      <c r="U42" s="326">
        <v>0</v>
      </c>
      <c r="V42" s="326">
        <v>2</v>
      </c>
      <c r="W42" s="326">
        <v>3</v>
      </c>
      <c r="X42" s="326">
        <v>1635</v>
      </c>
      <c r="Y42" s="326" t="s">
        <v>503</v>
      </c>
      <c r="Z42" s="326" t="str">
        <f t="shared" si="0"/>
        <v>Duplex, Triplex, Fourplex</v>
      </c>
      <c r="AA42" s="326" t="s">
        <v>300</v>
      </c>
      <c r="AB42" s="326" t="s">
        <v>301</v>
      </c>
      <c r="AC42" s="326"/>
      <c r="AD42" s="326" t="s">
        <v>302</v>
      </c>
      <c r="AE42" s="327">
        <v>-9999</v>
      </c>
      <c r="AF42" s="328" t="s">
        <v>204</v>
      </c>
      <c r="AG42" s="326">
        <v>10</v>
      </c>
      <c r="AH42" s="326">
        <v>10</v>
      </c>
      <c r="AI42" s="329">
        <v>5167.1110437099996</v>
      </c>
      <c r="AJ42" s="330">
        <f t="shared" si="1"/>
        <v>0.11862054737626263</v>
      </c>
      <c r="AK42" s="330" t="str">
        <f t="shared" si="2"/>
        <v>FZ no SLR</v>
      </c>
    </row>
    <row r="43" spans="1:42">
      <c r="A43" s="326">
        <v>11</v>
      </c>
      <c r="B43" s="326" t="s">
        <v>512</v>
      </c>
      <c r="C43" s="326" t="s">
        <v>512</v>
      </c>
      <c r="D43" s="326" t="s">
        <v>513</v>
      </c>
      <c r="E43" s="326" t="s">
        <v>514</v>
      </c>
      <c r="F43" s="326"/>
      <c r="G43" s="327">
        <v>0</v>
      </c>
      <c r="H43" s="326" t="s">
        <v>515</v>
      </c>
      <c r="I43" s="326" t="s">
        <v>356</v>
      </c>
      <c r="J43" s="326" t="s">
        <v>516</v>
      </c>
      <c r="K43" s="326"/>
      <c r="L43" s="326" t="s">
        <v>358</v>
      </c>
      <c r="M43" s="326" t="s">
        <v>350</v>
      </c>
      <c r="N43" s="326">
        <v>68500</v>
      </c>
      <c r="O43" s="326">
        <v>68250</v>
      </c>
      <c r="P43" s="326">
        <v>0</v>
      </c>
      <c r="Q43" s="326" t="s">
        <v>298</v>
      </c>
      <c r="R43" s="326">
        <v>1</v>
      </c>
      <c r="S43" s="326">
        <v>1</v>
      </c>
      <c r="T43" s="326"/>
      <c r="U43" s="326">
        <v>0</v>
      </c>
      <c r="V43" s="326">
        <v>2</v>
      </c>
      <c r="W43" s="326">
        <v>4</v>
      </c>
      <c r="X43" s="326">
        <v>3240</v>
      </c>
      <c r="Y43" s="326" t="s">
        <v>517</v>
      </c>
      <c r="Z43" s="326" t="str">
        <f t="shared" si="0"/>
        <v>Duplex, Triplex, Fourplex</v>
      </c>
      <c r="AA43" s="326" t="s">
        <v>300</v>
      </c>
      <c r="AB43" s="326" t="s">
        <v>301</v>
      </c>
      <c r="AC43" s="326" t="s">
        <v>438</v>
      </c>
      <c r="AD43" s="326" t="s">
        <v>302</v>
      </c>
      <c r="AE43" s="327">
        <v>-9999</v>
      </c>
      <c r="AF43" s="328" t="s">
        <v>195</v>
      </c>
      <c r="AG43" s="326">
        <v>10</v>
      </c>
      <c r="AH43" s="326">
        <v>10</v>
      </c>
      <c r="AI43" s="329">
        <v>10026.6283121</v>
      </c>
      <c r="AJ43" s="330">
        <f t="shared" si="1"/>
        <v>0.23017971331726353</v>
      </c>
      <c r="AK43" s="330" t="str">
        <f t="shared" si="2"/>
        <v>FZ no SLR</v>
      </c>
    </row>
    <row r="44" spans="1:42">
      <c r="A44" s="326">
        <v>409</v>
      </c>
      <c r="B44" s="326" t="s">
        <v>518</v>
      </c>
      <c r="C44" s="326" t="s">
        <v>518</v>
      </c>
      <c r="D44" s="326" t="s">
        <v>519</v>
      </c>
      <c r="E44" s="326" t="s">
        <v>520</v>
      </c>
      <c r="F44" s="326"/>
      <c r="G44" s="327">
        <v>0</v>
      </c>
      <c r="H44" s="326" t="s">
        <v>376</v>
      </c>
      <c r="I44" s="326" t="s">
        <v>307</v>
      </c>
      <c r="J44" s="326" t="s">
        <v>521</v>
      </c>
      <c r="K44" s="326"/>
      <c r="L44" s="326" t="s">
        <v>309</v>
      </c>
      <c r="M44" s="326" t="s">
        <v>310</v>
      </c>
      <c r="N44" s="326">
        <v>103749</v>
      </c>
      <c r="O44" s="326">
        <v>256903</v>
      </c>
      <c r="P44" s="326">
        <v>0</v>
      </c>
      <c r="Q44" s="326" t="s">
        <v>298</v>
      </c>
      <c r="R44" s="326">
        <v>1</v>
      </c>
      <c r="S44" s="326">
        <v>1</v>
      </c>
      <c r="T44" s="326"/>
      <c r="U44" s="326">
        <v>0</v>
      </c>
      <c r="V44" s="326">
        <v>2</v>
      </c>
      <c r="W44" s="326">
        <v>4</v>
      </c>
      <c r="X44" s="326">
        <v>2587</v>
      </c>
      <c r="Y44" s="326" t="s">
        <v>517</v>
      </c>
      <c r="Z44" s="326" t="str">
        <f t="shared" si="0"/>
        <v>Duplex, Triplex, Fourplex</v>
      </c>
      <c r="AA44" s="326" t="s">
        <v>300</v>
      </c>
      <c r="AB44" s="326" t="s">
        <v>301</v>
      </c>
      <c r="AC44" s="326"/>
      <c r="AD44" s="326" t="s">
        <v>302</v>
      </c>
      <c r="AE44" s="327">
        <v>-9999</v>
      </c>
      <c r="AF44" s="328" t="s">
        <v>204</v>
      </c>
      <c r="AG44" s="326">
        <v>10</v>
      </c>
      <c r="AH44" s="326">
        <v>10</v>
      </c>
      <c r="AI44" s="329">
        <v>5032.5179358799996</v>
      </c>
      <c r="AJ44" s="330">
        <f t="shared" si="1"/>
        <v>0.11553071478145087</v>
      </c>
      <c r="AK44" s="330" t="str">
        <f t="shared" si="2"/>
        <v>FZ no SLR</v>
      </c>
    </row>
    <row r="45" spans="1:42">
      <c r="A45" s="326">
        <v>410</v>
      </c>
      <c r="B45" s="326" t="s">
        <v>522</v>
      </c>
      <c r="C45" s="326" t="s">
        <v>522</v>
      </c>
      <c r="D45" s="326" t="s">
        <v>523</v>
      </c>
      <c r="E45" s="326" t="s">
        <v>524</v>
      </c>
      <c r="F45" s="326"/>
      <c r="G45" s="327">
        <v>0</v>
      </c>
      <c r="H45" s="326" t="s">
        <v>336</v>
      </c>
      <c r="I45" s="326" t="s">
        <v>307</v>
      </c>
      <c r="J45" s="326" t="s">
        <v>525</v>
      </c>
      <c r="K45" s="326"/>
      <c r="L45" s="326" t="s">
        <v>309</v>
      </c>
      <c r="M45" s="326" t="s">
        <v>310</v>
      </c>
      <c r="N45" s="326">
        <v>139900</v>
      </c>
      <c r="O45" s="326">
        <v>340100</v>
      </c>
      <c r="P45" s="326">
        <v>0</v>
      </c>
      <c r="Q45" s="326" t="s">
        <v>298</v>
      </c>
      <c r="R45" s="326">
        <v>1</v>
      </c>
      <c r="S45" s="326">
        <v>1</v>
      </c>
      <c r="T45" s="326"/>
      <c r="U45" s="326">
        <v>0</v>
      </c>
      <c r="V45" s="326">
        <v>2</v>
      </c>
      <c r="W45" s="326">
        <v>4</v>
      </c>
      <c r="X45" s="326">
        <v>3430</v>
      </c>
      <c r="Y45" s="326" t="s">
        <v>517</v>
      </c>
      <c r="Z45" s="326" t="str">
        <f t="shared" si="0"/>
        <v>Duplex, Triplex, Fourplex</v>
      </c>
      <c r="AA45" s="326" t="s">
        <v>300</v>
      </c>
      <c r="AB45" s="326" t="s">
        <v>301</v>
      </c>
      <c r="AC45" s="326"/>
      <c r="AD45" s="326" t="s">
        <v>302</v>
      </c>
      <c r="AE45" s="327">
        <v>-9999</v>
      </c>
      <c r="AF45" s="328" t="s">
        <v>204</v>
      </c>
      <c r="AG45" s="326">
        <v>10</v>
      </c>
      <c r="AH45" s="326">
        <v>10</v>
      </c>
      <c r="AI45" s="329">
        <v>6326.5155518199999</v>
      </c>
      <c r="AJ45" s="330">
        <f t="shared" si="1"/>
        <v>0.14523681248438935</v>
      </c>
      <c r="AK45" s="330" t="str">
        <f t="shared" si="2"/>
        <v>FZ no SLR</v>
      </c>
    </row>
    <row r="46" spans="1:42">
      <c r="A46" s="326">
        <v>415</v>
      </c>
      <c r="B46" s="326" t="s">
        <v>526</v>
      </c>
      <c r="C46" s="326" t="s">
        <v>526</v>
      </c>
      <c r="D46" s="326" t="s">
        <v>527</v>
      </c>
      <c r="E46" s="326" t="s">
        <v>446</v>
      </c>
      <c r="F46" s="326"/>
      <c r="G46" s="327">
        <v>0</v>
      </c>
      <c r="H46" s="326" t="s">
        <v>341</v>
      </c>
      <c r="I46" s="326" t="s">
        <v>307</v>
      </c>
      <c r="J46" s="326" t="s">
        <v>528</v>
      </c>
      <c r="K46" s="326"/>
      <c r="L46" s="326" t="s">
        <v>309</v>
      </c>
      <c r="M46" s="326" t="s">
        <v>310</v>
      </c>
      <c r="N46" s="326">
        <v>122917</v>
      </c>
      <c r="O46" s="326">
        <v>344177</v>
      </c>
      <c r="P46" s="326">
        <v>0</v>
      </c>
      <c r="Q46" s="326" t="s">
        <v>298</v>
      </c>
      <c r="R46" s="326">
        <v>1</v>
      </c>
      <c r="S46" s="326">
        <v>1</v>
      </c>
      <c r="T46" s="326"/>
      <c r="U46" s="326">
        <v>0</v>
      </c>
      <c r="V46" s="326">
        <v>2</v>
      </c>
      <c r="W46" s="326">
        <v>4</v>
      </c>
      <c r="X46" s="326">
        <v>3328</v>
      </c>
      <c r="Y46" s="326" t="s">
        <v>517</v>
      </c>
      <c r="Z46" s="326" t="str">
        <f t="shared" si="0"/>
        <v>Duplex, Triplex, Fourplex</v>
      </c>
      <c r="AA46" s="326" t="s">
        <v>300</v>
      </c>
      <c r="AB46" s="326" t="s">
        <v>301</v>
      </c>
      <c r="AC46" s="326"/>
      <c r="AD46" s="326" t="s">
        <v>302</v>
      </c>
      <c r="AE46" s="327">
        <v>-9999</v>
      </c>
      <c r="AF46" s="328" t="s">
        <v>204</v>
      </c>
      <c r="AG46" s="326">
        <v>10</v>
      </c>
      <c r="AH46" s="326">
        <v>10</v>
      </c>
      <c r="AI46" s="329">
        <v>5079.36731289</v>
      </c>
      <c r="AJ46" s="330">
        <f t="shared" si="1"/>
        <v>0.1166062284869146</v>
      </c>
      <c r="AK46" s="330" t="str">
        <f t="shared" si="2"/>
        <v>FZ no SLR</v>
      </c>
    </row>
    <row r="47" spans="1:42">
      <c r="A47" s="326">
        <v>417</v>
      </c>
      <c r="B47" s="326" t="s">
        <v>529</v>
      </c>
      <c r="C47" s="326" t="s">
        <v>529</v>
      </c>
      <c r="D47" s="326" t="s">
        <v>530</v>
      </c>
      <c r="E47" s="326" t="s">
        <v>531</v>
      </c>
      <c r="F47" s="326"/>
      <c r="G47" s="327">
        <v>0</v>
      </c>
      <c r="H47" s="326" t="s">
        <v>341</v>
      </c>
      <c r="I47" s="326" t="s">
        <v>307</v>
      </c>
      <c r="J47" s="326" t="s">
        <v>473</v>
      </c>
      <c r="K47" s="326"/>
      <c r="L47" s="326" t="s">
        <v>309</v>
      </c>
      <c r="M47" s="326" t="s">
        <v>310</v>
      </c>
      <c r="N47" s="326">
        <v>63938</v>
      </c>
      <c r="O47" s="326">
        <v>112535</v>
      </c>
      <c r="P47" s="326">
        <v>0</v>
      </c>
      <c r="Q47" s="326" t="s">
        <v>298</v>
      </c>
      <c r="R47" s="326">
        <v>1</v>
      </c>
      <c r="S47" s="326">
        <v>1</v>
      </c>
      <c r="T47" s="326"/>
      <c r="U47" s="326">
        <v>0</v>
      </c>
      <c r="V47" s="326">
        <v>2</v>
      </c>
      <c r="W47" s="326">
        <v>4</v>
      </c>
      <c r="X47" s="326">
        <v>3272</v>
      </c>
      <c r="Y47" s="326" t="s">
        <v>517</v>
      </c>
      <c r="Z47" s="326" t="str">
        <f t="shared" si="0"/>
        <v>Duplex, Triplex, Fourplex</v>
      </c>
      <c r="AA47" s="326" t="s">
        <v>300</v>
      </c>
      <c r="AB47" s="326" t="s">
        <v>301</v>
      </c>
      <c r="AC47" s="326"/>
      <c r="AD47" s="326" t="s">
        <v>302</v>
      </c>
      <c r="AE47" s="327">
        <v>-9999</v>
      </c>
      <c r="AF47" s="328" t="s">
        <v>204</v>
      </c>
      <c r="AG47" s="326">
        <v>10</v>
      </c>
      <c r="AH47" s="326">
        <v>10</v>
      </c>
      <c r="AI47" s="329">
        <v>6099.01656413</v>
      </c>
      <c r="AJ47" s="330">
        <f t="shared" si="1"/>
        <v>0.1400141543647842</v>
      </c>
      <c r="AK47" s="330" t="str">
        <f t="shared" si="2"/>
        <v>FZ no SLR</v>
      </c>
    </row>
    <row r="48" spans="1:42">
      <c r="A48" s="326">
        <v>422</v>
      </c>
      <c r="B48" s="326" t="s">
        <v>532</v>
      </c>
      <c r="C48" s="326" t="s">
        <v>532</v>
      </c>
      <c r="D48" s="326" t="s">
        <v>445</v>
      </c>
      <c r="E48" s="326" t="s">
        <v>533</v>
      </c>
      <c r="F48" s="326"/>
      <c r="G48" s="327">
        <v>0</v>
      </c>
      <c r="H48" s="326" t="s">
        <v>341</v>
      </c>
      <c r="I48" s="326" t="s">
        <v>307</v>
      </c>
      <c r="J48" s="326" t="s">
        <v>534</v>
      </c>
      <c r="K48" s="326" t="s">
        <v>535</v>
      </c>
      <c r="L48" s="326" t="s">
        <v>309</v>
      </c>
      <c r="M48" s="326" t="s">
        <v>310</v>
      </c>
      <c r="N48" s="326">
        <v>166100</v>
      </c>
      <c r="O48" s="326">
        <v>313900</v>
      </c>
      <c r="P48" s="326">
        <v>0</v>
      </c>
      <c r="Q48" s="326" t="s">
        <v>298</v>
      </c>
      <c r="R48" s="326">
        <v>1</v>
      </c>
      <c r="S48" s="326">
        <v>1</v>
      </c>
      <c r="T48" s="326"/>
      <c r="U48" s="326">
        <v>0</v>
      </c>
      <c r="V48" s="326">
        <v>2</v>
      </c>
      <c r="W48" s="326">
        <v>4</v>
      </c>
      <c r="X48" s="326">
        <v>2870</v>
      </c>
      <c r="Y48" s="326" t="s">
        <v>517</v>
      </c>
      <c r="Z48" s="326" t="str">
        <f t="shared" si="0"/>
        <v>Duplex, Triplex, Fourplex</v>
      </c>
      <c r="AA48" s="326" t="s">
        <v>300</v>
      </c>
      <c r="AB48" s="326" t="s">
        <v>301</v>
      </c>
      <c r="AC48" s="326"/>
      <c r="AD48" s="326" t="s">
        <v>302</v>
      </c>
      <c r="AE48" s="327">
        <v>-9999</v>
      </c>
      <c r="AF48" s="328" t="s">
        <v>204</v>
      </c>
      <c r="AG48" s="326">
        <v>10</v>
      </c>
      <c r="AH48" s="326">
        <v>10</v>
      </c>
      <c r="AI48" s="329">
        <v>3811.1573860499998</v>
      </c>
      <c r="AJ48" s="330">
        <f t="shared" si="1"/>
        <v>8.7492134665977953E-2</v>
      </c>
      <c r="AK48" s="330" t="str">
        <f t="shared" si="2"/>
        <v>FZ no SLR</v>
      </c>
    </row>
    <row r="49" spans="1:37">
      <c r="A49" s="326">
        <v>431</v>
      </c>
      <c r="B49" s="326" t="s">
        <v>536</v>
      </c>
      <c r="C49" s="326" t="s">
        <v>536</v>
      </c>
      <c r="D49" s="326" t="s">
        <v>537</v>
      </c>
      <c r="E49" s="326" t="s">
        <v>538</v>
      </c>
      <c r="F49" s="326"/>
      <c r="G49" s="327">
        <v>0</v>
      </c>
      <c r="H49" s="326" t="s">
        <v>341</v>
      </c>
      <c r="I49" s="326" t="s">
        <v>307</v>
      </c>
      <c r="J49" s="326" t="s">
        <v>539</v>
      </c>
      <c r="K49" s="326"/>
      <c r="L49" s="326" t="s">
        <v>309</v>
      </c>
      <c r="M49" s="326" t="s">
        <v>310</v>
      </c>
      <c r="N49" s="326">
        <v>157400</v>
      </c>
      <c r="O49" s="326">
        <v>322600</v>
      </c>
      <c r="P49" s="326">
        <v>0</v>
      </c>
      <c r="Q49" s="326" t="s">
        <v>298</v>
      </c>
      <c r="R49" s="326">
        <v>1</v>
      </c>
      <c r="S49" s="326">
        <v>1</v>
      </c>
      <c r="T49" s="326"/>
      <c r="U49" s="326">
        <v>0</v>
      </c>
      <c r="V49" s="326">
        <v>2</v>
      </c>
      <c r="W49" s="326">
        <v>4</v>
      </c>
      <c r="X49" s="326">
        <v>2176</v>
      </c>
      <c r="Y49" s="326" t="s">
        <v>517</v>
      </c>
      <c r="Z49" s="326" t="str">
        <f t="shared" si="0"/>
        <v>Duplex, Triplex, Fourplex</v>
      </c>
      <c r="AA49" s="326" t="s">
        <v>300</v>
      </c>
      <c r="AB49" s="326" t="s">
        <v>301</v>
      </c>
      <c r="AC49" s="326"/>
      <c r="AD49" s="326" t="s">
        <v>302</v>
      </c>
      <c r="AE49" s="327">
        <v>-9999</v>
      </c>
      <c r="AF49" s="328" t="s">
        <v>204</v>
      </c>
      <c r="AG49" s="326">
        <v>10</v>
      </c>
      <c r="AH49" s="326">
        <v>10</v>
      </c>
      <c r="AI49" s="329">
        <v>5171.3033217100001</v>
      </c>
      <c r="AJ49" s="330">
        <f t="shared" si="1"/>
        <v>0.11871678883631773</v>
      </c>
      <c r="AK49" s="330" t="str">
        <f t="shared" si="2"/>
        <v>FZ no SLR</v>
      </c>
    </row>
    <row r="50" spans="1:37">
      <c r="A50" s="326">
        <v>432</v>
      </c>
      <c r="B50" s="326" t="s">
        <v>540</v>
      </c>
      <c r="C50" s="326" t="s">
        <v>540</v>
      </c>
      <c r="D50" s="326" t="s">
        <v>541</v>
      </c>
      <c r="E50" s="326" t="s">
        <v>542</v>
      </c>
      <c r="F50" s="326"/>
      <c r="G50" s="327">
        <v>0</v>
      </c>
      <c r="H50" s="326" t="s">
        <v>362</v>
      </c>
      <c r="I50" s="326" t="s">
        <v>307</v>
      </c>
      <c r="J50" s="326" t="s">
        <v>543</v>
      </c>
      <c r="K50" s="326"/>
      <c r="L50" s="326" t="s">
        <v>309</v>
      </c>
      <c r="M50" s="326" t="s">
        <v>310</v>
      </c>
      <c r="N50" s="326">
        <v>153500</v>
      </c>
      <c r="O50" s="326">
        <v>326500</v>
      </c>
      <c r="P50" s="326">
        <v>0</v>
      </c>
      <c r="Q50" s="326" t="s">
        <v>298</v>
      </c>
      <c r="R50" s="326">
        <v>1</v>
      </c>
      <c r="S50" s="326">
        <v>1</v>
      </c>
      <c r="T50" s="326"/>
      <c r="U50" s="326">
        <v>0</v>
      </c>
      <c r="V50" s="326">
        <v>1</v>
      </c>
      <c r="W50" s="326">
        <v>4</v>
      </c>
      <c r="X50" s="326">
        <v>2103</v>
      </c>
      <c r="Y50" s="326" t="s">
        <v>517</v>
      </c>
      <c r="Z50" s="326" t="str">
        <f t="shared" si="0"/>
        <v>Duplex, Triplex, Fourplex</v>
      </c>
      <c r="AA50" s="326" t="s">
        <v>300</v>
      </c>
      <c r="AB50" s="326" t="s">
        <v>301</v>
      </c>
      <c r="AC50" s="326"/>
      <c r="AD50" s="326" t="s">
        <v>302</v>
      </c>
      <c r="AE50" s="327">
        <v>-9999</v>
      </c>
      <c r="AF50" s="328" t="s">
        <v>204</v>
      </c>
      <c r="AG50" s="326">
        <v>10</v>
      </c>
      <c r="AH50" s="326">
        <v>10</v>
      </c>
      <c r="AI50" s="329">
        <v>5821.5287100200003</v>
      </c>
      <c r="AJ50" s="330">
        <f t="shared" si="1"/>
        <v>0.13364390978007346</v>
      </c>
      <c r="AK50" s="330" t="str">
        <f t="shared" si="2"/>
        <v>FZ no SLR</v>
      </c>
    </row>
    <row r="51" spans="1:37">
      <c r="A51" s="326">
        <v>433</v>
      </c>
      <c r="B51" s="326" t="s">
        <v>544</v>
      </c>
      <c r="C51" s="326" t="s">
        <v>544</v>
      </c>
      <c r="D51" s="326" t="s">
        <v>541</v>
      </c>
      <c r="E51" s="326" t="s">
        <v>545</v>
      </c>
      <c r="F51" s="326"/>
      <c r="G51" s="327">
        <v>0</v>
      </c>
      <c r="H51" s="326" t="s">
        <v>341</v>
      </c>
      <c r="I51" s="326" t="s">
        <v>307</v>
      </c>
      <c r="J51" s="326" t="s">
        <v>546</v>
      </c>
      <c r="K51" s="326"/>
      <c r="L51" s="326" t="s">
        <v>309</v>
      </c>
      <c r="M51" s="326" t="s">
        <v>310</v>
      </c>
      <c r="N51" s="326">
        <v>166900</v>
      </c>
      <c r="O51" s="326">
        <v>313100</v>
      </c>
      <c r="P51" s="326">
        <v>0</v>
      </c>
      <c r="Q51" s="326" t="s">
        <v>298</v>
      </c>
      <c r="R51" s="326">
        <v>1</v>
      </c>
      <c r="S51" s="326">
        <v>1</v>
      </c>
      <c r="T51" s="326"/>
      <c r="U51" s="326">
        <v>0</v>
      </c>
      <c r="V51" s="326">
        <v>2</v>
      </c>
      <c r="W51" s="326">
        <v>4</v>
      </c>
      <c r="X51" s="326">
        <v>3600</v>
      </c>
      <c r="Y51" s="326" t="s">
        <v>517</v>
      </c>
      <c r="Z51" s="326" t="str">
        <f t="shared" si="0"/>
        <v>Duplex, Triplex, Fourplex</v>
      </c>
      <c r="AA51" s="326" t="s">
        <v>300</v>
      </c>
      <c r="AB51" s="326" t="s">
        <v>301</v>
      </c>
      <c r="AC51" s="326"/>
      <c r="AD51" s="326" t="s">
        <v>302</v>
      </c>
      <c r="AE51" s="327">
        <v>-9999</v>
      </c>
      <c r="AF51" s="328" t="s">
        <v>204</v>
      </c>
      <c r="AG51" s="326">
        <v>10</v>
      </c>
      <c r="AH51" s="326">
        <v>10</v>
      </c>
      <c r="AI51" s="329">
        <v>8926.4687002400005</v>
      </c>
      <c r="AJ51" s="330">
        <f t="shared" si="1"/>
        <v>0.20492352388062443</v>
      </c>
      <c r="AK51" s="330" t="str">
        <f t="shared" si="2"/>
        <v>FZ no SLR</v>
      </c>
    </row>
    <row r="52" spans="1:37">
      <c r="A52" s="326">
        <v>439</v>
      </c>
      <c r="B52" s="326" t="s">
        <v>547</v>
      </c>
      <c r="C52" s="326" t="s">
        <v>547</v>
      </c>
      <c r="D52" s="326" t="s">
        <v>548</v>
      </c>
      <c r="E52" s="326" t="s">
        <v>549</v>
      </c>
      <c r="F52" s="326"/>
      <c r="G52" s="327">
        <v>0</v>
      </c>
      <c r="H52" s="326" t="s">
        <v>462</v>
      </c>
      <c r="I52" s="326" t="s">
        <v>294</v>
      </c>
      <c r="J52" s="326" t="s">
        <v>550</v>
      </c>
      <c r="K52" s="326"/>
      <c r="L52" s="326" t="s">
        <v>309</v>
      </c>
      <c r="M52" s="326" t="s">
        <v>310</v>
      </c>
      <c r="N52" s="326">
        <v>182000</v>
      </c>
      <c r="O52" s="326">
        <v>298000</v>
      </c>
      <c r="P52" s="326">
        <v>0</v>
      </c>
      <c r="Q52" s="326" t="s">
        <v>298</v>
      </c>
      <c r="R52" s="326">
        <v>1</v>
      </c>
      <c r="S52" s="326">
        <v>1</v>
      </c>
      <c r="T52" s="326"/>
      <c r="U52" s="326">
        <v>0</v>
      </c>
      <c r="V52" s="326">
        <v>2</v>
      </c>
      <c r="W52" s="326">
        <v>4</v>
      </c>
      <c r="X52" s="326">
        <v>4224</v>
      </c>
      <c r="Y52" s="326" t="s">
        <v>517</v>
      </c>
      <c r="Z52" s="326" t="str">
        <f t="shared" si="0"/>
        <v>Duplex, Triplex, Fourplex</v>
      </c>
      <c r="AA52" s="326" t="s">
        <v>300</v>
      </c>
      <c r="AB52" s="326" t="s">
        <v>301</v>
      </c>
      <c r="AC52" s="326"/>
      <c r="AD52" s="326" t="s">
        <v>302</v>
      </c>
      <c r="AE52" s="327">
        <v>-9999</v>
      </c>
      <c r="AF52" s="328" t="s">
        <v>204</v>
      </c>
      <c r="AG52" s="326">
        <v>10</v>
      </c>
      <c r="AH52" s="326">
        <v>10</v>
      </c>
      <c r="AI52" s="329">
        <v>5174.4373121799999</v>
      </c>
      <c r="AJ52" s="330">
        <f t="shared" si="1"/>
        <v>0.11878873535766758</v>
      </c>
      <c r="AK52" s="330" t="str">
        <f t="shared" si="2"/>
        <v>FZ no SLR</v>
      </c>
    </row>
    <row r="53" spans="1:37">
      <c r="A53" s="326">
        <v>454</v>
      </c>
      <c r="B53" s="326" t="s">
        <v>551</v>
      </c>
      <c r="C53" s="326" t="s">
        <v>551</v>
      </c>
      <c r="D53" s="326" t="s">
        <v>552</v>
      </c>
      <c r="E53" s="326" t="s">
        <v>553</v>
      </c>
      <c r="F53" s="326"/>
      <c r="G53" s="327">
        <v>0.15</v>
      </c>
      <c r="H53" s="326" t="s">
        <v>507</v>
      </c>
      <c r="I53" s="326" t="s">
        <v>307</v>
      </c>
      <c r="J53" s="326" t="s">
        <v>308</v>
      </c>
      <c r="K53" s="326"/>
      <c r="L53" s="326" t="s">
        <v>309</v>
      </c>
      <c r="M53" s="326" t="s">
        <v>310</v>
      </c>
      <c r="N53" s="326">
        <v>50227</v>
      </c>
      <c r="O53" s="326">
        <v>247016</v>
      </c>
      <c r="P53" s="326">
        <v>0</v>
      </c>
      <c r="Q53" s="326" t="s">
        <v>298</v>
      </c>
      <c r="R53" s="326">
        <v>1</v>
      </c>
      <c r="S53" s="326">
        <v>1</v>
      </c>
      <c r="T53" s="326"/>
      <c r="U53" s="326">
        <v>0</v>
      </c>
      <c r="V53" s="326">
        <v>2</v>
      </c>
      <c r="W53" s="326">
        <v>4</v>
      </c>
      <c r="X53" s="326">
        <v>2320</v>
      </c>
      <c r="Y53" s="326" t="s">
        <v>517</v>
      </c>
      <c r="Z53" s="326" t="str">
        <f t="shared" si="0"/>
        <v>Duplex, Triplex, Fourplex</v>
      </c>
      <c r="AA53" s="326" t="s">
        <v>300</v>
      </c>
      <c r="AB53" s="326" t="s">
        <v>301</v>
      </c>
      <c r="AC53" s="326"/>
      <c r="AD53" s="326" t="s">
        <v>302</v>
      </c>
      <c r="AE53" s="327">
        <v>-9999</v>
      </c>
      <c r="AF53" s="328" t="s">
        <v>204</v>
      </c>
      <c r="AG53" s="326">
        <v>10</v>
      </c>
      <c r="AH53" s="326">
        <v>10</v>
      </c>
      <c r="AI53" s="329">
        <v>6583.7446226000002</v>
      </c>
      <c r="AJ53" s="330">
        <f t="shared" si="1"/>
        <v>0.15114197939853077</v>
      </c>
      <c r="AK53" s="330" t="str">
        <f t="shared" si="2"/>
        <v>FZ no SLR</v>
      </c>
    </row>
    <row r="54" spans="1:37">
      <c r="A54" s="326">
        <v>491</v>
      </c>
      <c r="B54" s="326" t="s">
        <v>554</v>
      </c>
      <c r="C54" s="326" t="s">
        <v>554</v>
      </c>
      <c r="D54" s="326" t="s">
        <v>322</v>
      </c>
      <c r="E54" s="326" t="s">
        <v>555</v>
      </c>
      <c r="F54" s="326"/>
      <c r="G54" s="327">
        <v>0</v>
      </c>
      <c r="H54" s="326" t="s">
        <v>397</v>
      </c>
      <c r="I54" s="326" t="s">
        <v>307</v>
      </c>
      <c r="J54" s="326" t="s">
        <v>556</v>
      </c>
      <c r="K54" s="326"/>
      <c r="L54" s="326" t="s">
        <v>309</v>
      </c>
      <c r="M54" s="326" t="s">
        <v>310</v>
      </c>
      <c r="N54" s="326">
        <v>153300</v>
      </c>
      <c r="O54" s="326">
        <v>306700</v>
      </c>
      <c r="P54" s="326">
        <v>0</v>
      </c>
      <c r="Q54" s="326" t="s">
        <v>298</v>
      </c>
      <c r="R54" s="326">
        <v>1</v>
      </c>
      <c r="S54" s="326">
        <v>1</v>
      </c>
      <c r="T54" s="326"/>
      <c r="U54" s="326">
        <v>0</v>
      </c>
      <c r="V54" s="326">
        <v>2</v>
      </c>
      <c r="W54" s="326">
        <v>4</v>
      </c>
      <c r="X54" s="326">
        <v>4020</v>
      </c>
      <c r="Y54" s="326" t="s">
        <v>517</v>
      </c>
      <c r="Z54" s="326" t="str">
        <f t="shared" si="0"/>
        <v>Duplex, Triplex, Fourplex</v>
      </c>
      <c r="AA54" s="326" t="s">
        <v>300</v>
      </c>
      <c r="AB54" s="326" t="s">
        <v>301</v>
      </c>
      <c r="AC54" s="326"/>
      <c r="AD54" s="326" t="s">
        <v>302</v>
      </c>
      <c r="AE54" s="327">
        <v>-9999</v>
      </c>
      <c r="AF54" s="328" t="s">
        <v>204</v>
      </c>
      <c r="AG54" s="326">
        <v>10</v>
      </c>
      <c r="AH54" s="326">
        <v>10</v>
      </c>
      <c r="AI54" s="329">
        <v>4345.9217345099996</v>
      </c>
      <c r="AJ54" s="330">
        <f t="shared" si="1"/>
        <v>9.9768634860192829E-2</v>
      </c>
      <c r="AK54" s="330" t="str">
        <f t="shared" si="2"/>
        <v>FZ no SLR</v>
      </c>
    </row>
    <row r="55" spans="1:37">
      <c r="A55" s="326">
        <v>1004</v>
      </c>
      <c r="B55" s="326" t="s">
        <v>557</v>
      </c>
      <c r="C55" s="326" t="s">
        <v>557</v>
      </c>
      <c r="D55" s="326" t="s">
        <v>558</v>
      </c>
      <c r="E55" s="326" t="s">
        <v>559</v>
      </c>
      <c r="F55" s="326"/>
      <c r="G55" s="327">
        <v>0</v>
      </c>
      <c r="H55" s="326" t="s">
        <v>560</v>
      </c>
      <c r="I55" s="326" t="s">
        <v>307</v>
      </c>
      <c r="J55" s="326" t="s">
        <v>477</v>
      </c>
      <c r="K55" s="326"/>
      <c r="L55" s="326" t="s">
        <v>408</v>
      </c>
      <c r="M55" s="326" t="s">
        <v>409</v>
      </c>
      <c r="N55" s="326">
        <v>37670</v>
      </c>
      <c r="O55" s="326">
        <v>529894</v>
      </c>
      <c r="P55" s="326">
        <v>0</v>
      </c>
      <c r="Q55" s="326" t="s">
        <v>298</v>
      </c>
      <c r="R55" s="326">
        <v>1</v>
      </c>
      <c r="S55" s="326">
        <v>1</v>
      </c>
      <c r="T55" s="326"/>
      <c r="U55" s="326">
        <v>0</v>
      </c>
      <c r="V55" s="326">
        <v>2</v>
      </c>
      <c r="W55" s="326">
        <v>4</v>
      </c>
      <c r="X55" s="326">
        <v>3472</v>
      </c>
      <c r="Y55" s="326" t="s">
        <v>517</v>
      </c>
      <c r="Z55" s="326" t="str">
        <f t="shared" si="0"/>
        <v>Duplex, Triplex, Fourplex</v>
      </c>
      <c r="AA55" s="326" t="s">
        <v>300</v>
      </c>
      <c r="AB55" s="326" t="s">
        <v>301</v>
      </c>
      <c r="AC55" s="326"/>
      <c r="AD55" s="326" t="s">
        <v>302</v>
      </c>
      <c r="AE55" s="327">
        <v>-9999</v>
      </c>
      <c r="AF55" s="328" t="s">
        <v>195</v>
      </c>
      <c r="AG55" s="326">
        <v>10</v>
      </c>
      <c r="AH55" s="326">
        <v>10</v>
      </c>
      <c r="AI55" s="329">
        <v>5823.4511050900001</v>
      </c>
      <c r="AJ55" s="330">
        <f t="shared" si="1"/>
        <v>0.13368804189830119</v>
      </c>
      <c r="AK55" s="330" t="str">
        <f t="shared" si="2"/>
        <v>FZ no SLR</v>
      </c>
    </row>
    <row r="56" spans="1:37">
      <c r="A56" s="326">
        <v>1005</v>
      </c>
      <c r="B56" s="326" t="s">
        <v>561</v>
      </c>
      <c r="C56" s="326" t="s">
        <v>561</v>
      </c>
      <c r="D56" s="326" t="s">
        <v>562</v>
      </c>
      <c r="E56" s="326" t="s">
        <v>563</v>
      </c>
      <c r="F56" s="326"/>
      <c r="G56" s="327">
        <v>0</v>
      </c>
      <c r="H56" s="326" t="s">
        <v>564</v>
      </c>
      <c r="I56" s="326" t="s">
        <v>294</v>
      </c>
      <c r="J56" s="326" t="s">
        <v>565</v>
      </c>
      <c r="K56" s="326"/>
      <c r="L56" s="326" t="s">
        <v>408</v>
      </c>
      <c r="M56" s="326" t="s">
        <v>409</v>
      </c>
      <c r="N56" s="326">
        <v>51231</v>
      </c>
      <c r="O56" s="326">
        <v>194679</v>
      </c>
      <c r="P56" s="326">
        <v>0</v>
      </c>
      <c r="Q56" s="326" t="s">
        <v>298</v>
      </c>
      <c r="R56" s="326">
        <v>1</v>
      </c>
      <c r="S56" s="326">
        <v>1</v>
      </c>
      <c r="T56" s="326"/>
      <c r="U56" s="326">
        <v>0</v>
      </c>
      <c r="V56" s="326">
        <v>2</v>
      </c>
      <c r="W56" s="326">
        <v>4</v>
      </c>
      <c r="X56" s="326">
        <v>2904</v>
      </c>
      <c r="Y56" s="326" t="s">
        <v>517</v>
      </c>
      <c r="Z56" s="326" t="str">
        <f t="shared" si="0"/>
        <v>Duplex, Triplex, Fourplex</v>
      </c>
      <c r="AA56" s="326" t="s">
        <v>300</v>
      </c>
      <c r="AB56" s="326" t="s">
        <v>301</v>
      </c>
      <c r="AC56" s="326"/>
      <c r="AD56" s="326" t="s">
        <v>302</v>
      </c>
      <c r="AE56" s="327">
        <v>-9999</v>
      </c>
      <c r="AF56" s="328" t="s">
        <v>195</v>
      </c>
      <c r="AG56" s="326">
        <v>10</v>
      </c>
      <c r="AH56" s="326">
        <v>10</v>
      </c>
      <c r="AI56" s="329">
        <v>4795.0162963499997</v>
      </c>
      <c r="AJ56" s="330">
        <f t="shared" si="1"/>
        <v>0.11007842737258952</v>
      </c>
      <c r="AK56" s="330" t="str">
        <f t="shared" si="2"/>
        <v>FZ no SLR</v>
      </c>
    </row>
    <row r="57" spans="1:37">
      <c r="A57" s="326">
        <v>1006</v>
      </c>
      <c r="B57" s="326" t="s">
        <v>566</v>
      </c>
      <c r="C57" s="326" t="s">
        <v>566</v>
      </c>
      <c r="D57" s="326" t="s">
        <v>567</v>
      </c>
      <c r="E57" s="326" t="s">
        <v>568</v>
      </c>
      <c r="F57" s="326"/>
      <c r="G57" s="327">
        <v>0</v>
      </c>
      <c r="H57" s="326" t="s">
        <v>564</v>
      </c>
      <c r="I57" s="326" t="s">
        <v>569</v>
      </c>
      <c r="J57" s="326" t="s">
        <v>570</v>
      </c>
      <c r="K57" s="326"/>
      <c r="L57" s="326" t="s">
        <v>408</v>
      </c>
      <c r="M57" s="326" t="s">
        <v>409</v>
      </c>
      <c r="N57" s="326">
        <v>56248</v>
      </c>
      <c r="O57" s="326">
        <v>203390</v>
      </c>
      <c r="P57" s="326">
        <v>0</v>
      </c>
      <c r="Q57" s="326" t="s">
        <v>298</v>
      </c>
      <c r="R57" s="326">
        <v>1</v>
      </c>
      <c r="S57" s="326">
        <v>1</v>
      </c>
      <c r="T57" s="326"/>
      <c r="U57" s="326">
        <v>0</v>
      </c>
      <c r="V57" s="326">
        <v>2</v>
      </c>
      <c r="W57" s="326">
        <v>4</v>
      </c>
      <c r="X57" s="326">
        <v>2908</v>
      </c>
      <c r="Y57" s="326" t="s">
        <v>517</v>
      </c>
      <c r="Z57" s="326" t="str">
        <f t="shared" si="0"/>
        <v>Duplex, Triplex, Fourplex</v>
      </c>
      <c r="AA57" s="326" t="s">
        <v>300</v>
      </c>
      <c r="AB57" s="326" t="s">
        <v>301</v>
      </c>
      <c r="AC57" s="326"/>
      <c r="AD57" s="326" t="s">
        <v>302</v>
      </c>
      <c r="AE57" s="327">
        <v>-9999</v>
      </c>
      <c r="AF57" s="328" t="s">
        <v>195</v>
      </c>
      <c r="AG57" s="326">
        <v>10</v>
      </c>
      <c r="AH57" s="326">
        <v>10</v>
      </c>
      <c r="AI57" s="329">
        <v>4776.6551933000001</v>
      </c>
      <c r="AJ57" s="330">
        <f t="shared" si="1"/>
        <v>0.10965691444674013</v>
      </c>
      <c r="AK57" s="330" t="str">
        <f t="shared" si="2"/>
        <v>FZ no SLR</v>
      </c>
    </row>
    <row r="58" spans="1:37">
      <c r="A58" s="326">
        <v>72</v>
      </c>
      <c r="B58" s="326" t="s">
        <v>571</v>
      </c>
      <c r="C58" s="326" t="s">
        <v>571</v>
      </c>
      <c r="D58" s="326" t="s">
        <v>353</v>
      </c>
      <c r="E58" s="326" t="s">
        <v>572</v>
      </c>
      <c r="F58" s="326"/>
      <c r="G58" s="327">
        <v>0</v>
      </c>
      <c r="H58" s="326" t="s">
        <v>355</v>
      </c>
      <c r="I58" s="326" t="s">
        <v>356</v>
      </c>
      <c r="J58" s="326"/>
      <c r="K58" s="326"/>
      <c r="L58" s="326" t="s">
        <v>358</v>
      </c>
      <c r="M58" s="326" t="s">
        <v>350</v>
      </c>
      <c r="N58" s="326">
        <v>124</v>
      </c>
      <c r="O58" s="326">
        <v>0</v>
      </c>
      <c r="P58" s="326">
        <v>0</v>
      </c>
      <c r="Q58" s="326" t="s">
        <v>298</v>
      </c>
      <c r="R58" s="326">
        <v>1</v>
      </c>
      <c r="S58" s="326">
        <v>1</v>
      </c>
      <c r="T58" s="326"/>
      <c r="U58" s="326">
        <v>0</v>
      </c>
      <c r="V58" s="326">
        <v>0</v>
      </c>
      <c r="W58" s="326">
        <v>0</v>
      </c>
      <c r="X58" s="326">
        <v>0</v>
      </c>
      <c r="Y58" s="326" t="s">
        <v>88</v>
      </c>
      <c r="Z58" s="326" t="str">
        <f t="shared" si="0"/>
        <v>Vacant Multi Family</v>
      </c>
      <c r="AA58" s="326" t="s">
        <v>300</v>
      </c>
      <c r="AB58" s="326" t="s">
        <v>301</v>
      </c>
      <c r="AC58" s="326"/>
      <c r="AD58" s="326" t="s">
        <v>302</v>
      </c>
      <c r="AE58" s="327">
        <v>-9999</v>
      </c>
      <c r="AF58" s="328" t="s">
        <v>204</v>
      </c>
      <c r="AG58" s="326">
        <v>10</v>
      </c>
      <c r="AH58" s="326">
        <v>10</v>
      </c>
      <c r="AI58" s="329">
        <v>599.41783497999995</v>
      </c>
      <c r="AJ58" s="330">
        <f t="shared" si="1"/>
        <v>1.3760740013314966E-2</v>
      </c>
      <c r="AK58" s="330" t="str">
        <f t="shared" si="2"/>
        <v>FZ no SLR</v>
      </c>
    </row>
    <row r="59" spans="1:37">
      <c r="A59" s="326">
        <v>266</v>
      </c>
      <c r="B59" s="326" t="s">
        <v>573</v>
      </c>
      <c r="C59" s="326" t="s">
        <v>573</v>
      </c>
      <c r="D59" s="326" t="s">
        <v>574</v>
      </c>
      <c r="E59" s="326" t="s">
        <v>575</v>
      </c>
      <c r="F59" s="326"/>
      <c r="G59" s="327">
        <v>0</v>
      </c>
      <c r="H59" s="326" t="s">
        <v>429</v>
      </c>
      <c r="I59" s="326" t="s">
        <v>307</v>
      </c>
      <c r="J59" s="326"/>
      <c r="K59" s="326"/>
      <c r="L59" s="326" t="s">
        <v>296</v>
      </c>
      <c r="M59" s="326" t="s">
        <v>297</v>
      </c>
      <c r="N59" s="326">
        <v>50227</v>
      </c>
      <c r="O59" s="326">
        <v>0</v>
      </c>
      <c r="P59" s="326">
        <v>0</v>
      </c>
      <c r="Q59" s="326" t="s">
        <v>298</v>
      </c>
      <c r="R59" s="326">
        <v>1</v>
      </c>
      <c r="S59" s="326">
        <v>1</v>
      </c>
      <c r="T59" s="326"/>
      <c r="U59" s="326">
        <v>0</v>
      </c>
      <c r="V59" s="326">
        <v>0</v>
      </c>
      <c r="W59" s="326">
        <v>0</v>
      </c>
      <c r="X59" s="326">
        <v>0</v>
      </c>
      <c r="Y59" s="326" t="s">
        <v>88</v>
      </c>
      <c r="Z59" s="326" t="str">
        <f t="shared" si="0"/>
        <v>Vacant Multi Family</v>
      </c>
      <c r="AA59" s="326" t="s">
        <v>300</v>
      </c>
      <c r="AB59" s="326" t="s">
        <v>301</v>
      </c>
      <c r="AC59" s="326"/>
      <c r="AD59" s="326" t="s">
        <v>302</v>
      </c>
      <c r="AE59" s="327">
        <v>-9999</v>
      </c>
      <c r="AF59" s="328" t="s">
        <v>195</v>
      </c>
      <c r="AG59" s="326">
        <v>10</v>
      </c>
      <c r="AH59" s="326">
        <v>10</v>
      </c>
      <c r="AI59" s="329">
        <v>6195.9207489500004</v>
      </c>
      <c r="AJ59" s="330">
        <f t="shared" si="1"/>
        <v>0.14223876834136823</v>
      </c>
      <c r="AK59" s="330" t="str">
        <f t="shared" si="2"/>
        <v>FZ no SLR</v>
      </c>
    </row>
    <row r="60" spans="1:37">
      <c r="A60" s="326">
        <v>361</v>
      </c>
      <c r="B60" s="326" t="s">
        <v>576</v>
      </c>
      <c r="C60" s="326" t="s">
        <v>576</v>
      </c>
      <c r="D60" s="326" t="s">
        <v>577</v>
      </c>
      <c r="E60" s="326" t="s">
        <v>578</v>
      </c>
      <c r="F60" s="326" t="s">
        <v>579</v>
      </c>
      <c r="G60" s="327">
        <v>0.17599999999999999</v>
      </c>
      <c r="H60" s="326" t="s">
        <v>580</v>
      </c>
      <c r="I60" s="326" t="s">
        <v>406</v>
      </c>
      <c r="J60" s="326"/>
      <c r="K60" s="326"/>
      <c r="L60" s="326" t="s">
        <v>581</v>
      </c>
      <c r="M60" s="326" t="s">
        <v>582</v>
      </c>
      <c r="N60" s="326">
        <v>57859</v>
      </c>
      <c r="O60" s="326">
        <v>0</v>
      </c>
      <c r="P60" s="326">
        <v>0</v>
      </c>
      <c r="Q60" s="326" t="s">
        <v>298</v>
      </c>
      <c r="R60" s="326">
        <v>0</v>
      </c>
      <c r="S60" s="326">
        <v>0</v>
      </c>
      <c r="T60" s="326"/>
      <c r="U60" s="326">
        <v>0</v>
      </c>
      <c r="V60" s="326">
        <v>0</v>
      </c>
      <c r="W60" s="326">
        <v>0</v>
      </c>
      <c r="X60" s="326">
        <v>0</v>
      </c>
      <c r="Y60" s="326" t="s">
        <v>88</v>
      </c>
      <c r="Z60" s="326" t="str">
        <f t="shared" si="0"/>
        <v>Vacant Multi Family</v>
      </c>
      <c r="AA60" s="326" t="s">
        <v>300</v>
      </c>
      <c r="AB60" s="326" t="s">
        <v>301</v>
      </c>
      <c r="AC60" s="326"/>
      <c r="AD60" s="326" t="s">
        <v>302</v>
      </c>
      <c r="AE60" s="327">
        <v>0</v>
      </c>
      <c r="AF60" s="328" t="s">
        <v>186</v>
      </c>
      <c r="AG60" s="326">
        <v>10</v>
      </c>
      <c r="AH60" s="326">
        <v>10</v>
      </c>
      <c r="AI60" s="329">
        <v>7340.8557799199998</v>
      </c>
      <c r="AJ60" s="330">
        <f t="shared" si="1"/>
        <v>0.16852285996143251</v>
      </c>
      <c r="AK60" s="330" t="str">
        <f t="shared" si="2"/>
        <v>FZ no SLR</v>
      </c>
    </row>
    <row r="61" spans="1:37">
      <c r="A61" s="326">
        <v>480</v>
      </c>
      <c r="B61" s="326" t="s">
        <v>583</v>
      </c>
      <c r="C61" s="326" t="s">
        <v>583</v>
      </c>
      <c r="D61" s="326" t="s">
        <v>584</v>
      </c>
      <c r="E61" s="326" t="s">
        <v>585</v>
      </c>
      <c r="F61" s="326"/>
      <c r="G61" s="327">
        <v>0</v>
      </c>
      <c r="H61" s="326" t="s">
        <v>586</v>
      </c>
      <c r="I61" s="326" t="s">
        <v>307</v>
      </c>
      <c r="J61" s="326" t="s">
        <v>587</v>
      </c>
      <c r="K61" s="326"/>
      <c r="L61" s="326" t="s">
        <v>309</v>
      </c>
      <c r="M61" s="326" t="s">
        <v>310</v>
      </c>
      <c r="N61" s="326">
        <v>79710</v>
      </c>
      <c r="O61" s="326">
        <v>0</v>
      </c>
      <c r="P61" s="326">
        <v>0</v>
      </c>
      <c r="Q61" s="326" t="s">
        <v>298</v>
      </c>
      <c r="R61" s="326">
        <v>1</v>
      </c>
      <c r="S61" s="326">
        <v>1</v>
      </c>
      <c r="T61" s="326"/>
      <c r="U61" s="326">
        <v>0</v>
      </c>
      <c r="V61" s="326">
        <v>0</v>
      </c>
      <c r="W61" s="326">
        <v>0</v>
      </c>
      <c r="X61" s="326">
        <v>0</v>
      </c>
      <c r="Y61" s="326" t="s">
        <v>88</v>
      </c>
      <c r="Z61" s="326" t="str">
        <f t="shared" si="0"/>
        <v>Vacant Multi Family</v>
      </c>
      <c r="AA61" s="326" t="s">
        <v>300</v>
      </c>
      <c r="AB61" s="326" t="s">
        <v>301</v>
      </c>
      <c r="AC61" s="326" t="s">
        <v>359</v>
      </c>
      <c r="AD61" s="326" t="s">
        <v>302</v>
      </c>
      <c r="AE61" s="327">
        <v>-9999</v>
      </c>
      <c r="AF61" s="328" t="s">
        <v>204</v>
      </c>
      <c r="AG61" s="326">
        <v>10</v>
      </c>
      <c r="AH61" s="326">
        <v>10</v>
      </c>
      <c r="AI61" s="329">
        <v>10025.864703699999</v>
      </c>
      <c r="AJ61" s="330">
        <f t="shared" si="1"/>
        <v>0.23016218328053259</v>
      </c>
      <c r="AK61" s="330" t="str">
        <f t="shared" si="2"/>
        <v>FZ no SLR</v>
      </c>
    </row>
    <row r="62" spans="1:37">
      <c r="A62" s="331">
        <v>325</v>
      </c>
      <c r="B62" s="331" t="s">
        <v>588</v>
      </c>
      <c r="C62" s="331" t="s">
        <v>588</v>
      </c>
      <c r="D62" s="331" t="s">
        <v>589</v>
      </c>
      <c r="E62" s="331" t="s">
        <v>590</v>
      </c>
      <c r="F62" s="331"/>
      <c r="G62" s="332">
        <v>0</v>
      </c>
      <c r="H62" s="331" t="s">
        <v>591</v>
      </c>
      <c r="I62" s="331" t="s">
        <v>294</v>
      </c>
      <c r="J62" s="331" t="s">
        <v>592</v>
      </c>
      <c r="K62" s="331"/>
      <c r="L62" s="331" t="s">
        <v>296</v>
      </c>
      <c r="M62" s="331" t="s">
        <v>297</v>
      </c>
      <c r="N62" s="331">
        <v>33571</v>
      </c>
      <c r="O62" s="331">
        <v>122646</v>
      </c>
      <c r="P62" s="331">
        <v>0</v>
      </c>
      <c r="Q62" s="331" t="s">
        <v>298</v>
      </c>
      <c r="R62" s="331">
        <v>0</v>
      </c>
      <c r="S62" s="331">
        <v>5</v>
      </c>
      <c r="T62" s="331"/>
      <c r="U62" s="331">
        <v>0</v>
      </c>
      <c r="V62" s="331">
        <v>0</v>
      </c>
      <c r="W62" s="331">
        <v>5</v>
      </c>
      <c r="X62" s="331">
        <v>4192</v>
      </c>
      <c r="Y62" s="331" t="s">
        <v>299</v>
      </c>
      <c r="Z62" s="331" t="str">
        <f t="shared" si="0"/>
        <v>Apartments</v>
      </c>
      <c r="AA62" s="331" t="s">
        <v>300</v>
      </c>
      <c r="AB62" s="331" t="s">
        <v>301</v>
      </c>
      <c r="AC62" s="331"/>
      <c r="AD62" s="331" t="s">
        <v>302</v>
      </c>
      <c r="AE62" s="332">
        <v>-9999</v>
      </c>
      <c r="AF62" s="333" t="s">
        <v>195</v>
      </c>
      <c r="AG62" s="331">
        <v>6</v>
      </c>
      <c r="AH62" s="331">
        <v>5</v>
      </c>
      <c r="AI62" s="334">
        <v>12693.9618261</v>
      </c>
      <c r="AJ62" s="335">
        <f t="shared" si="1"/>
        <v>0.29141326506198345</v>
      </c>
      <c r="AK62" s="335" t="str">
        <f t="shared" si="2"/>
        <v>FZ with SLR</v>
      </c>
    </row>
    <row r="63" spans="1:37">
      <c r="A63" s="331">
        <v>334</v>
      </c>
      <c r="B63" s="331" t="s">
        <v>593</v>
      </c>
      <c r="C63" s="331" t="s">
        <v>593</v>
      </c>
      <c r="D63" s="331" t="s">
        <v>594</v>
      </c>
      <c r="E63" s="331" t="s">
        <v>595</v>
      </c>
      <c r="F63" s="331"/>
      <c r="G63" s="332">
        <v>0</v>
      </c>
      <c r="H63" s="331" t="s">
        <v>591</v>
      </c>
      <c r="I63" s="331" t="s">
        <v>294</v>
      </c>
      <c r="J63" s="331" t="s">
        <v>596</v>
      </c>
      <c r="K63" s="331"/>
      <c r="L63" s="331" t="s">
        <v>296</v>
      </c>
      <c r="M63" s="331" t="s">
        <v>297</v>
      </c>
      <c r="N63" s="331">
        <v>161994</v>
      </c>
      <c r="O63" s="331">
        <v>209024</v>
      </c>
      <c r="P63" s="331">
        <v>0</v>
      </c>
      <c r="Q63" s="331" t="s">
        <v>298</v>
      </c>
      <c r="R63" s="331">
        <v>0</v>
      </c>
      <c r="S63" s="331">
        <v>5</v>
      </c>
      <c r="T63" s="331"/>
      <c r="U63" s="331">
        <v>0</v>
      </c>
      <c r="V63" s="331">
        <v>1</v>
      </c>
      <c r="W63" s="331">
        <v>5</v>
      </c>
      <c r="X63" s="331">
        <v>4449</v>
      </c>
      <c r="Y63" s="331" t="s">
        <v>299</v>
      </c>
      <c r="Z63" s="331" t="str">
        <f t="shared" si="0"/>
        <v>Apartments</v>
      </c>
      <c r="AA63" s="331" t="s">
        <v>300</v>
      </c>
      <c r="AB63" s="331" t="s">
        <v>301</v>
      </c>
      <c r="AC63" s="331"/>
      <c r="AD63" s="331" t="s">
        <v>302</v>
      </c>
      <c r="AE63" s="332">
        <v>-9999</v>
      </c>
      <c r="AF63" s="333" t="s">
        <v>195</v>
      </c>
      <c r="AG63" s="331">
        <v>6</v>
      </c>
      <c r="AH63" s="331">
        <v>5</v>
      </c>
      <c r="AI63" s="334">
        <v>14531.618567400001</v>
      </c>
      <c r="AJ63" s="335">
        <f t="shared" si="1"/>
        <v>0.33360005893939398</v>
      </c>
      <c r="AK63" s="335" t="str">
        <f t="shared" si="2"/>
        <v>FZ with SLR</v>
      </c>
    </row>
    <row r="64" spans="1:37">
      <c r="A64" s="331">
        <v>335</v>
      </c>
      <c r="B64" s="331" t="s">
        <v>597</v>
      </c>
      <c r="C64" s="331" t="s">
        <v>597</v>
      </c>
      <c r="D64" s="331" t="s">
        <v>598</v>
      </c>
      <c r="E64" s="331" t="s">
        <v>599</v>
      </c>
      <c r="F64" s="331"/>
      <c r="G64" s="332">
        <v>0</v>
      </c>
      <c r="H64" s="331" t="s">
        <v>591</v>
      </c>
      <c r="I64" s="331" t="s">
        <v>294</v>
      </c>
      <c r="J64" s="331" t="s">
        <v>600</v>
      </c>
      <c r="K64" s="331"/>
      <c r="L64" s="331" t="s">
        <v>296</v>
      </c>
      <c r="M64" s="331" t="s">
        <v>297</v>
      </c>
      <c r="N64" s="331">
        <v>125376</v>
      </c>
      <c r="O64" s="331">
        <v>200603</v>
      </c>
      <c r="P64" s="331">
        <v>0</v>
      </c>
      <c r="Q64" s="331" t="s">
        <v>298</v>
      </c>
      <c r="R64" s="331">
        <v>0</v>
      </c>
      <c r="S64" s="331">
        <v>3</v>
      </c>
      <c r="T64" s="331"/>
      <c r="U64" s="331">
        <v>0</v>
      </c>
      <c r="V64" s="331">
        <v>1</v>
      </c>
      <c r="W64" s="331">
        <v>5</v>
      </c>
      <c r="X64" s="331">
        <v>2554</v>
      </c>
      <c r="Y64" s="331" t="s">
        <v>299</v>
      </c>
      <c r="Z64" s="331" t="str">
        <f t="shared" si="0"/>
        <v>Apartments</v>
      </c>
      <c r="AA64" s="331" t="s">
        <v>300</v>
      </c>
      <c r="AB64" s="331" t="s">
        <v>301</v>
      </c>
      <c r="AC64" s="331"/>
      <c r="AD64" s="331" t="s">
        <v>302</v>
      </c>
      <c r="AE64" s="332">
        <v>-9999</v>
      </c>
      <c r="AF64" s="333" t="s">
        <v>195</v>
      </c>
      <c r="AG64" s="331">
        <v>6</v>
      </c>
      <c r="AH64" s="331">
        <v>5</v>
      </c>
      <c r="AI64" s="334">
        <v>10734.6407122</v>
      </c>
      <c r="AJ64" s="335">
        <f t="shared" si="1"/>
        <v>0.24643344151056015</v>
      </c>
      <c r="AK64" s="335" t="str">
        <f t="shared" si="2"/>
        <v>FZ with SLR</v>
      </c>
    </row>
    <row r="65" spans="1:40">
      <c r="A65" s="331">
        <v>322</v>
      </c>
      <c r="B65" s="331" t="s">
        <v>601</v>
      </c>
      <c r="C65" s="331" t="s">
        <v>601</v>
      </c>
      <c r="D65" s="331" t="s">
        <v>602</v>
      </c>
      <c r="E65" s="331" t="s">
        <v>603</v>
      </c>
      <c r="F65" s="331"/>
      <c r="G65" s="332">
        <v>0</v>
      </c>
      <c r="H65" s="331" t="s">
        <v>604</v>
      </c>
      <c r="I65" s="331" t="s">
        <v>307</v>
      </c>
      <c r="J65" s="331" t="s">
        <v>605</v>
      </c>
      <c r="K65" s="331"/>
      <c r="L65" s="331" t="s">
        <v>296</v>
      </c>
      <c r="M65" s="331" t="s">
        <v>297</v>
      </c>
      <c r="N65" s="331">
        <v>101395</v>
      </c>
      <c r="O65" s="331">
        <v>310980</v>
      </c>
      <c r="P65" s="331">
        <v>0</v>
      </c>
      <c r="Q65" s="331" t="s">
        <v>298</v>
      </c>
      <c r="R65" s="331">
        <v>0</v>
      </c>
      <c r="S65" s="331">
        <v>3</v>
      </c>
      <c r="T65" s="331"/>
      <c r="U65" s="331">
        <v>0</v>
      </c>
      <c r="V65" s="331">
        <v>2</v>
      </c>
      <c r="W65" s="331">
        <v>6</v>
      </c>
      <c r="X65" s="331">
        <v>4822</v>
      </c>
      <c r="Y65" s="331" t="s">
        <v>299</v>
      </c>
      <c r="Z65" s="331" t="str">
        <f t="shared" si="0"/>
        <v>Apartments</v>
      </c>
      <c r="AA65" s="331" t="s">
        <v>300</v>
      </c>
      <c r="AB65" s="331" t="s">
        <v>301</v>
      </c>
      <c r="AC65" s="331"/>
      <c r="AD65" s="331" t="s">
        <v>302</v>
      </c>
      <c r="AE65" s="332">
        <v>-9999</v>
      </c>
      <c r="AF65" s="333" t="s">
        <v>195</v>
      </c>
      <c r="AG65" s="331">
        <v>6</v>
      </c>
      <c r="AH65" s="331">
        <v>5</v>
      </c>
      <c r="AI65" s="334">
        <v>10060.130755300001</v>
      </c>
      <c r="AJ65" s="335">
        <f t="shared" si="1"/>
        <v>0.23094882358356292</v>
      </c>
      <c r="AK65" s="335" t="str">
        <f t="shared" si="2"/>
        <v>FZ with SLR</v>
      </c>
    </row>
    <row r="66" spans="1:40">
      <c r="A66" s="331">
        <v>321</v>
      </c>
      <c r="B66" s="331" t="s">
        <v>606</v>
      </c>
      <c r="C66" s="331" t="s">
        <v>606</v>
      </c>
      <c r="D66" s="331" t="s">
        <v>602</v>
      </c>
      <c r="E66" s="331" t="s">
        <v>607</v>
      </c>
      <c r="F66" s="331"/>
      <c r="G66" s="332">
        <v>0</v>
      </c>
      <c r="H66" s="331" t="s">
        <v>604</v>
      </c>
      <c r="I66" s="331" t="s">
        <v>307</v>
      </c>
      <c r="J66" s="331" t="s">
        <v>608</v>
      </c>
      <c r="K66" s="331"/>
      <c r="L66" s="331" t="s">
        <v>296</v>
      </c>
      <c r="M66" s="331" t="s">
        <v>297</v>
      </c>
      <c r="N66" s="331">
        <v>135197</v>
      </c>
      <c r="O66" s="331">
        <v>381966</v>
      </c>
      <c r="P66" s="331">
        <v>0</v>
      </c>
      <c r="Q66" s="331" t="s">
        <v>298</v>
      </c>
      <c r="R66" s="331">
        <v>0</v>
      </c>
      <c r="S66" s="331">
        <v>3</v>
      </c>
      <c r="T66" s="331"/>
      <c r="U66" s="331">
        <v>0</v>
      </c>
      <c r="V66" s="331">
        <v>2</v>
      </c>
      <c r="W66" s="331">
        <v>8</v>
      </c>
      <c r="X66" s="331">
        <v>5974</v>
      </c>
      <c r="Y66" s="331" t="s">
        <v>299</v>
      </c>
      <c r="Z66" s="331" t="str">
        <f t="shared" ref="Z66:Z90" si="3">IF(OR(Y66="Apartments, 5-12 units, inclusive", Y66="Apartments, 13-24 units, inclusive", Y66="Apartments, 25-59 units, inclusive", Y66="Apartments, 60 units or more"), "Apartments", IF(OR(Y66="Duplex", Y66="Triplex", Y66="Fourplex", Y66="Combinations; e.g., single and a double"),"Duplex, Triplex, Fourplex", "Vacant Multi Family"))</f>
        <v>Apartments</v>
      </c>
      <c r="AA66" s="331" t="s">
        <v>300</v>
      </c>
      <c r="AB66" s="331" t="s">
        <v>301</v>
      </c>
      <c r="AC66" s="331"/>
      <c r="AD66" s="331" t="s">
        <v>302</v>
      </c>
      <c r="AE66" s="332">
        <v>-9999</v>
      </c>
      <c r="AF66" s="333" t="s">
        <v>195</v>
      </c>
      <c r="AG66" s="331">
        <v>6</v>
      </c>
      <c r="AH66" s="331">
        <v>5</v>
      </c>
      <c r="AI66" s="334">
        <v>10105.7612532</v>
      </c>
      <c r="AJ66" s="335">
        <f t="shared" ref="AJ66:AJ129" si="4">AI66/43560</f>
        <v>0.23199635567493113</v>
      </c>
      <c r="AK66" s="335" t="str">
        <f t="shared" ref="AK66:AK129" si="5">IF(AF66=10,IF(AG66=10,"SLR Adjacent","SLR not in FZ"),IF(AG66=10,"FZ no SLR","FZ with SLR"))</f>
        <v>FZ with SLR</v>
      </c>
    </row>
    <row r="67" spans="1:40">
      <c r="A67" s="331">
        <v>338</v>
      </c>
      <c r="B67" s="331" t="s">
        <v>609</v>
      </c>
      <c r="C67" s="331" t="s">
        <v>609</v>
      </c>
      <c r="D67" s="331" t="s">
        <v>610</v>
      </c>
      <c r="E67" s="331" t="s">
        <v>611</v>
      </c>
      <c r="F67" s="331"/>
      <c r="G67" s="332">
        <v>0</v>
      </c>
      <c r="H67" s="331" t="s">
        <v>612</v>
      </c>
      <c r="I67" s="331" t="s">
        <v>307</v>
      </c>
      <c r="J67" s="331" t="s">
        <v>613</v>
      </c>
      <c r="K67" s="331"/>
      <c r="L67" s="331" t="s">
        <v>296</v>
      </c>
      <c r="M67" s="331" t="s">
        <v>297</v>
      </c>
      <c r="N67" s="331">
        <v>41438</v>
      </c>
      <c r="O67" s="331">
        <v>188634</v>
      </c>
      <c r="P67" s="331">
        <v>0</v>
      </c>
      <c r="Q67" s="331" t="s">
        <v>298</v>
      </c>
      <c r="R67" s="331">
        <v>0</v>
      </c>
      <c r="S67" s="331">
        <v>3</v>
      </c>
      <c r="T67" s="331"/>
      <c r="U67" s="331">
        <v>0</v>
      </c>
      <c r="V67" s="331">
        <v>2</v>
      </c>
      <c r="W67" s="331">
        <v>8</v>
      </c>
      <c r="X67" s="331">
        <v>5959</v>
      </c>
      <c r="Y67" s="331" t="s">
        <v>299</v>
      </c>
      <c r="Z67" s="331" t="str">
        <f t="shared" si="3"/>
        <v>Apartments</v>
      </c>
      <c r="AA67" s="331" t="s">
        <v>300</v>
      </c>
      <c r="AB67" s="331" t="s">
        <v>301</v>
      </c>
      <c r="AC67" s="331"/>
      <c r="AD67" s="331" t="s">
        <v>302</v>
      </c>
      <c r="AE67" s="332">
        <v>-9999</v>
      </c>
      <c r="AF67" s="333" t="s">
        <v>195</v>
      </c>
      <c r="AG67" s="331">
        <v>6</v>
      </c>
      <c r="AH67" s="331">
        <v>5</v>
      </c>
      <c r="AI67" s="334">
        <v>11216.695682</v>
      </c>
      <c r="AJ67" s="335">
        <f t="shared" si="4"/>
        <v>0.25749990087235997</v>
      </c>
      <c r="AK67" s="335" t="str">
        <f t="shared" si="5"/>
        <v>FZ with SLR</v>
      </c>
      <c r="AN67" s="204"/>
    </row>
    <row r="68" spans="1:40">
      <c r="A68" s="331">
        <v>323</v>
      </c>
      <c r="B68" s="331" t="s">
        <v>614</v>
      </c>
      <c r="C68" s="331" t="s">
        <v>614</v>
      </c>
      <c r="D68" s="331" t="s">
        <v>602</v>
      </c>
      <c r="E68" s="331" t="s">
        <v>615</v>
      </c>
      <c r="F68" s="331"/>
      <c r="G68" s="332">
        <v>0</v>
      </c>
      <c r="H68" s="331" t="s">
        <v>612</v>
      </c>
      <c r="I68" s="331" t="s">
        <v>307</v>
      </c>
      <c r="J68" s="331" t="s">
        <v>616</v>
      </c>
      <c r="K68" s="331"/>
      <c r="L68" s="331" t="s">
        <v>296</v>
      </c>
      <c r="M68" s="331" t="s">
        <v>297</v>
      </c>
      <c r="N68" s="331">
        <v>207970</v>
      </c>
      <c r="O68" s="331">
        <v>831922</v>
      </c>
      <c r="P68" s="331">
        <v>0</v>
      </c>
      <c r="Q68" s="331" t="s">
        <v>298</v>
      </c>
      <c r="R68" s="331">
        <v>0</v>
      </c>
      <c r="S68" s="331">
        <v>3</v>
      </c>
      <c r="T68" s="331"/>
      <c r="U68" s="331">
        <v>0</v>
      </c>
      <c r="V68" s="331">
        <v>2</v>
      </c>
      <c r="W68" s="331">
        <v>10</v>
      </c>
      <c r="X68" s="331">
        <v>9540</v>
      </c>
      <c r="Y68" s="331" t="s">
        <v>299</v>
      </c>
      <c r="Z68" s="331" t="str">
        <f t="shared" si="3"/>
        <v>Apartments</v>
      </c>
      <c r="AA68" s="331" t="s">
        <v>300</v>
      </c>
      <c r="AB68" s="331" t="s">
        <v>301</v>
      </c>
      <c r="AC68" s="331"/>
      <c r="AD68" s="331" t="s">
        <v>302</v>
      </c>
      <c r="AE68" s="332">
        <v>-9999</v>
      </c>
      <c r="AF68" s="333" t="s">
        <v>195</v>
      </c>
      <c r="AG68" s="331">
        <v>6</v>
      </c>
      <c r="AH68" s="331">
        <v>5</v>
      </c>
      <c r="AI68" s="334">
        <v>15308.7380997</v>
      </c>
      <c r="AJ68" s="335">
        <f t="shared" si="4"/>
        <v>0.35144026858815425</v>
      </c>
      <c r="AK68" s="335" t="str">
        <f t="shared" si="5"/>
        <v>FZ with SLR</v>
      </c>
    </row>
    <row r="69" spans="1:40">
      <c r="A69" s="331">
        <v>330</v>
      </c>
      <c r="B69" s="331" t="s">
        <v>617</v>
      </c>
      <c r="C69" s="331" t="s">
        <v>617</v>
      </c>
      <c r="D69" s="331" t="s">
        <v>618</v>
      </c>
      <c r="E69" s="331" t="s">
        <v>619</v>
      </c>
      <c r="F69" s="331"/>
      <c r="G69" s="332">
        <v>0</v>
      </c>
      <c r="H69" s="331" t="s">
        <v>620</v>
      </c>
      <c r="I69" s="331" t="s">
        <v>294</v>
      </c>
      <c r="J69" s="331" t="s">
        <v>621</v>
      </c>
      <c r="K69" s="331"/>
      <c r="L69" s="331" t="s">
        <v>296</v>
      </c>
      <c r="M69" s="331" t="s">
        <v>297</v>
      </c>
      <c r="N69" s="331">
        <v>366657</v>
      </c>
      <c r="O69" s="331">
        <v>914131</v>
      </c>
      <c r="P69" s="331">
        <v>0</v>
      </c>
      <c r="Q69" s="331" t="s">
        <v>298</v>
      </c>
      <c r="R69" s="331">
        <v>1</v>
      </c>
      <c r="S69" s="331">
        <v>1</v>
      </c>
      <c r="T69" s="331"/>
      <c r="U69" s="331">
        <v>0</v>
      </c>
      <c r="V69" s="331">
        <v>2</v>
      </c>
      <c r="W69" s="331">
        <v>20</v>
      </c>
      <c r="X69" s="331">
        <v>12340</v>
      </c>
      <c r="Y69" s="331" t="s">
        <v>393</v>
      </c>
      <c r="Z69" s="331" t="str">
        <f t="shared" si="3"/>
        <v>Apartments</v>
      </c>
      <c r="AA69" s="331" t="s">
        <v>300</v>
      </c>
      <c r="AB69" s="331" t="s">
        <v>301</v>
      </c>
      <c r="AC69" s="331"/>
      <c r="AD69" s="331" t="s">
        <v>302</v>
      </c>
      <c r="AE69" s="332">
        <v>-9999</v>
      </c>
      <c r="AF69" s="333" t="s">
        <v>195</v>
      </c>
      <c r="AG69" s="331">
        <v>6</v>
      </c>
      <c r="AH69" s="331">
        <v>5</v>
      </c>
      <c r="AI69" s="334">
        <v>17996.795412200001</v>
      </c>
      <c r="AJ69" s="335">
        <f t="shared" si="4"/>
        <v>0.41314957328282831</v>
      </c>
      <c r="AK69" s="335" t="str">
        <f t="shared" si="5"/>
        <v>FZ with SLR</v>
      </c>
    </row>
    <row r="70" spans="1:40">
      <c r="A70" s="331">
        <v>315</v>
      </c>
      <c r="B70" s="331" t="s">
        <v>622</v>
      </c>
      <c r="C70" s="331" t="s">
        <v>622</v>
      </c>
      <c r="D70" s="331" t="s">
        <v>623</v>
      </c>
      <c r="E70" s="331" t="s">
        <v>624</v>
      </c>
      <c r="F70" s="331"/>
      <c r="G70" s="332">
        <v>0</v>
      </c>
      <c r="H70" s="331" t="s">
        <v>625</v>
      </c>
      <c r="I70" s="331" t="s">
        <v>294</v>
      </c>
      <c r="J70" s="331" t="s">
        <v>626</v>
      </c>
      <c r="K70" s="331"/>
      <c r="L70" s="331" t="s">
        <v>296</v>
      </c>
      <c r="M70" s="331" t="s">
        <v>297</v>
      </c>
      <c r="N70" s="331">
        <v>115522</v>
      </c>
      <c r="O70" s="331">
        <v>35158</v>
      </c>
      <c r="P70" s="331">
        <v>0</v>
      </c>
      <c r="Q70" s="331" t="s">
        <v>423</v>
      </c>
      <c r="R70" s="331">
        <v>1</v>
      </c>
      <c r="S70" s="331">
        <v>2</v>
      </c>
      <c r="T70" s="331"/>
      <c r="U70" s="331">
        <v>4000</v>
      </c>
      <c r="V70" s="331">
        <v>0</v>
      </c>
      <c r="W70" s="331">
        <v>2</v>
      </c>
      <c r="X70" s="331">
        <v>0</v>
      </c>
      <c r="Y70" s="331" t="s">
        <v>498</v>
      </c>
      <c r="Z70" s="331" t="str">
        <f t="shared" si="3"/>
        <v>Duplex, Triplex, Fourplex</v>
      </c>
      <c r="AA70" s="331" t="s">
        <v>300</v>
      </c>
      <c r="AB70" s="331" t="s">
        <v>301</v>
      </c>
      <c r="AC70" s="331"/>
      <c r="AD70" s="331" t="s">
        <v>302</v>
      </c>
      <c r="AE70" s="332">
        <v>-9999</v>
      </c>
      <c r="AF70" s="333" t="s">
        <v>195</v>
      </c>
      <c r="AG70" s="331">
        <v>6</v>
      </c>
      <c r="AH70" s="331">
        <v>5</v>
      </c>
      <c r="AI70" s="334">
        <v>4133.9508092899996</v>
      </c>
      <c r="AJ70" s="335">
        <f t="shared" si="4"/>
        <v>9.4902452003902654E-2</v>
      </c>
      <c r="AK70" s="335" t="str">
        <f t="shared" si="5"/>
        <v>FZ with SLR</v>
      </c>
    </row>
    <row r="71" spans="1:40">
      <c r="A71" s="331">
        <v>304</v>
      </c>
      <c r="B71" s="331" t="s">
        <v>627</v>
      </c>
      <c r="C71" s="331" t="s">
        <v>627</v>
      </c>
      <c r="D71" s="331" t="s">
        <v>628</v>
      </c>
      <c r="E71" s="331" t="s">
        <v>629</v>
      </c>
      <c r="F71" s="331"/>
      <c r="G71" s="332">
        <v>0</v>
      </c>
      <c r="H71" s="331" t="s">
        <v>625</v>
      </c>
      <c r="I71" s="331" t="s">
        <v>294</v>
      </c>
      <c r="J71" s="331" t="s">
        <v>630</v>
      </c>
      <c r="K71" s="331"/>
      <c r="L71" s="331" t="s">
        <v>296</v>
      </c>
      <c r="M71" s="331" t="s">
        <v>297</v>
      </c>
      <c r="N71" s="331">
        <v>112100</v>
      </c>
      <c r="O71" s="331">
        <v>97900</v>
      </c>
      <c r="P71" s="331">
        <v>0</v>
      </c>
      <c r="Q71" s="331" t="s">
        <v>423</v>
      </c>
      <c r="R71" s="331">
        <v>1</v>
      </c>
      <c r="S71" s="331">
        <v>1</v>
      </c>
      <c r="T71" s="331" t="s">
        <v>631</v>
      </c>
      <c r="U71" s="331">
        <v>4000</v>
      </c>
      <c r="V71" s="331">
        <v>0</v>
      </c>
      <c r="W71" s="331">
        <v>2</v>
      </c>
      <c r="X71" s="331">
        <v>0</v>
      </c>
      <c r="Y71" s="331" t="s">
        <v>425</v>
      </c>
      <c r="Z71" s="331" t="str">
        <f t="shared" si="3"/>
        <v>Duplex, Triplex, Fourplex</v>
      </c>
      <c r="AA71" s="331" t="s">
        <v>300</v>
      </c>
      <c r="AB71" s="331" t="s">
        <v>301</v>
      </c>
      <c r="AC71" s="331"/>
      <c r="AD71" s="331" t="s">
        <v>302</v>
      </c>
      <c r="AE71" s="332">
        <v>-9999</v>
      </c>
      <c r="AF71" s="333" t="s">
        <v>195</v>
      </c>
      <c r="AG71" s="331">
        <v>6</v>
      </c>
      <c r="AH71" s="331">
        <v>5</v>
      </c>
      <c r="AI71" s="334">
        <v>4102.6148428799997</v>
      </c>
      <c r="AJ71" s="335">
        <f t="shared" si="4"/>
        <v>9.4183077201101917E-2</v>
      </c>
      <c r="AK71" s="335" t="str">
        <f t="shared" si="5"/>
        <v>FZ with SLR</v>
      </c>
      <c r="AM71" s="204"/>
    </row>
    <row r="72" spans="1:40">
      <c r="A72" s="331">
        <v>326</v>
      </c>
      <c r="B72" s="331" t="s">
        <v>632</v>
      </c>
      <c r="C72" s="331" t="s">
        <v>632</v>
      </c>
      <c r="D72" s="331" t="s">
        <v>633</v>
      </c>
      <c r="E72" s="331" t="s">
        <v>634</v>
      </c>
      <c r="F72" s="331"/>
      <c r="G72" s="332">
        <v>0</v>
      </c>
      <c r="H72" s="331" t="s">
        <v>612</v>
      </c>
      <c r="I72" s="331" t="s">
        <v>307</v>
      </c>
      <c r="J72" s="331" t="s">
        <v>635</v>
      </c>
      <c r="K72" s="331"/>
      <c r="L72" s="331" t="s">
        <v>296</v>
      </c>
      <c r="M72" s="331" t="s">
        <v>297</v>
      </c>
      <c r="N72" s="331">
        <v>76530</v>
      </c>
      <c r="O72" s="331">
        <v>154602</v>
      </c>
      <c r="P72" s="331">
        <v>0</v>
      </c>
      <c r="Q72" s="331" t="s">
        <v>423</v>
      </c>
      <c r="R72" s="331">
        <v>1</v>
      </c>
      <c r="S72" s="331">
        <v>1</v>
      </c>
      <c r="T72" s="331" t="s">
        <v>458</v>
      </c>
      <c r="U72" s="331">
        <v>4000</v>
      </c>
      <c r="V72" s="331">
        <v>0</v>
      </c>
      <c r="W72" s="331">
        <v>2</v>
      </c>
      <c r="X72" s="331">
        <v>0</v>
      </c>
      <c r="Y72" s="331" t="s">
        <v>425</v>
      </c>
      <c r="Z72" s="331" t="str">
        <f t="shared" si="3"/>
        <v>Duplex, Triplex, Fourplex</v>
      </c>
      <c r="AA72" s="331" t="s">
        <v>300</v>
      </c>
      <c r="AB72" s="331" t="s">
        <v>301</v>
      </c>
      <c r="AC72" s="331"/>
      <c r="AD72" s="331" t="s">
        <v>302</v>
      </c>
      <c r="AE72" s="332">
        <v>-9999</v>
      </c>
      <c r="AF72" s="333" t="s">
        <v>195</v>
      </c>
      <c r="AG72" s="331">
        <v>6</v>
      </c>
      <c r="AH72" s="331">
        <v>5</v>
      </c>
      <c r="AI72" s="334">
        <v>4094.5013092999998</v>
      </c>
      <c r="AJ72" s="335">
        <f t="shared" si="4"/>
        <v>9.3996816099632688E-2</v>
      </c>
      <c r="AK72" s="335" t="str">
        <f t="shared" si="5"/>
        <v>FZ with SLR</v>
      </c>
    </row>
    <row r="73" spans="1:40">
      <c r="A73" s="331">
        <v>327</v>
      </c>
      <c r="B73" s="331" t="s">
        <v>636</v>
      </c>
      <c r="C73" s="331" t="s">
        <v>636</v>
      </c>
      <c r="D73" s="331" t="s">
        <v>637</v>
      </c>
      <c r="E73" s="331" t="s">
        <v>638</v>
      </c>
      <c r="F73" s="331"/>
      <c r="G73" s="332">
        <v>0</v>
      </c>
      <c r="H73" s="331" t="s">
        <v>612</v>
      </c>
      <c r="I73" s="331" t="s">
        <v>307</v>
      </c>
      <c r="J73" s="331" t="s">
        <v>639</v>
      </c>
      <c r="K73" s="331"/>
      <c r="L73" s="331" t="s">
        <v>296</v>
      </c>
      <c r="M73" s="331" t="s">
        <v>297</v>
      </c>
      <c r="N73" s="331">
        <v>70062</v>
      </c>
      <c r="O73" s="331">
        <v>63693</v>
      </c>
      <c r="P73" s="331">
        <v>0</v>
      </c>
      <c r="Q73" s="331" t="s">
        <v>423</v>
      </c>
      <c r="R73" s="331">
        <v>1</v>
      </c>
      <c r="S73" s="331">
        <v>1</v>
      </c>
      <c r="T73" s="331" t="s">
        <v>640</v>
      </c>
      <c r="U73" s="331">
        <v>4000</v>
      </c>
      <c r="V73" s="331">
        <v>0</v>
      </c>
      <c r="W73" s="331">
        <v>2</v>
      </c>
      <c r="X73" s="331">
        <v>0</v>
      </c>
      <c r="Y73" s="331" t="s">
        <v>425</v>
      </c>
      <c r="Z73" s="331" t="str">
        <f t="shared" si="3"/>
        <v>Duplex, Triplex, Fourplex</v>
      </c>
      <c r="AA73" s="331" t="s">
        <v>300</v>
      </c>
      <c r="AB73" s="331" t="s">
        <v>301</v>
      </c>
      <c r="AC73" s="331"/>
      <c r="AD73" s="331" t="s">
        <v>302</v>
      </c>
      <c r="AE73" s="332">
        <v>-9999</v>
      </c>
      <c r="AF73" s="333" t="s">
        <v>195</v>
      </c>
      <c r="AG73" s="331">
        <v>6</v>
      </c>
      <c r="AH73" s="331">
        <v>5</v>
      </c>
      <c r="AI73" s="334">
        <v>4000.3155494500002</v>
      </c>
      <c r="AJ73" s="335">
        <f t="shared" si="4"/>
        <v>9.1834608573232321E-2</v>
      </c>
      <c r="AK73" s="335" t="str">
        <f t="shared" si="5"/>
        <v>FZ with SLR</v>
      </c>
    </row>
    <row r="74" spans="1:40">
      <c r="A74" s="331">
        <v>329</v>
      </c>
      <c r="B74" s="331" t="s">
        <v>641</v>
      </c>
      <c r="C74" s="331" t="s">
        <v>641</v>
      </c>
      <c r="D74" s="331" t="s">
        <v>642</v>
      </c>
      <c r="E74" s="331" t="s">
        <v>643</v>
      </c>
      <c r="F74" s="331"/>
      <c r="G74" s="332">
        <v>0</v>
      </c>
      <c r="H74" s="331" t="s">
        <v>644</v>
      </c>
      <c r="I74" s="331" t="s">
        <v>307</v>
      </c>
      <c r="J74" s="331" t="s">
        <v>645</v>
      </c>
      <c r="K74" s="331"/>
      <c r="L74" s="331" t="s">
        <v>296</v>
      </c>
      <c r="M74" s="331" t="s">
        <v>297</v>
      </c>
      <c r="N74" s="331">
        <v>107194</v>
      </c>
      <c r="O74" s="331">
        <v>87761</v>
      </c>
      <c r="P74" s="331">
        <v>0</v>
      </c>
      <c r="Q74" s="331" t="s">
        <v>423</v>
      </c>
      <c r="R74" s="331">
        <v>1</v>
      </c>
      <c r="S74" s="331">
        <v>1</v>
      </c>
      <c r="T74" s="331" t="s">
        <v>646</v>
      </c>
      <c r="U74" s="331">
        <v>4800</v>
      </c>
      <c r="V74" s="331">
        <v>0</v>
      </c>
      <c r="W74" s="331">
        <v>2</v>
      </c>
      <c r="X74" s="331">
        <v>0</v>
      </c>
      <c r="Y74" s="331" t="s">
        <v>425</v>
      </c>
      <c r="Z74" s="331" t="str">
        <f t="shared" si="3"/>
        <v>Duplex, Triplex, Fourplex</v>
      </c>
      <c r="AA74" s="331" t="s">
        <v>300</v>
      </c>
      <c r="AB74" s="331" t="s">
        <v>301</v>
      </c>
      <c r="AC74" s="331"/>
      <c r="AD74" s="331" t="s">
        <v>302</v>
      </c>
      <c r="AE74" s="332">
        <v>-9999</v>
      </c>
      <c r="AF74" s="333" t="s">
        <v>195</v>
      </c>
      <c r="AG74" s="331">
        <v>6</v>
      </c>
      <c r="AH74" s="331">
        <v>5</v>
      </c>
      <c r="AI74" s="334">
        <v>4842.44199837</v>
      </c>
      <c r="AJ74" s="335">
        <f t="shared" si="4"/>
        <v>0.11116717167975207</v>
      </c>
      <c r="AK74" s="335" t="str">
        <f t="shared" si="5"/>
        <v>FZ with SLR</v>
      </c>
    </row>
    <row r="75" spans="1:40">
      <c r="A75" s="331">
        <v>331</v>
      </c>
      <c r="B75" s="331" t="s">
        <v>647</v>
      </c>
      <c r="C75" s="331" t="s">
        <v>647</v>
      </c>
      <c r="D75" s="331" t="s">
        <v>648</v>
      </c>
      <c r="E75" s="331" t="s">
        <v>649</v>
      </c>
      <c r="F75" s="331"/>
      <c r="G75" s="332">
        <v>0</v>
      </c>
      <c r="H75" s="331" t="s">
        <v>293</v>
      </c>
      <c r="I75" s="331" t="s">
        <v>294</v>
      </c>
      <c r="J75" s="331" t="s">
        <v>384</v>
      </c>
      <c r="K75" s="331"/>
      <c r="L75" s="331" t="s">
        <v>296</v>
      </c>
      <c r="M75" s="331" t="s">
        <v>297</v>
      </c>
      <c r="N75" s="331">
        <v>58603</v>
      </c>
      <c r="O75" s="331">
        <v>149958</v>
      </c>
      <c r="P75" s="331">
        <v>0</v>
      </c>
      <c r="Q75" s="331" t="s">
        <v>298</v>
      </c>
      <c r="R75" s="331">
        <v>1</v>
      </c>
      <c r="S75" s="331">
        <v>1</v>
      </c>
      <c r="T75" s="331"/>
      <c r="U75" s="331">
        <v>0</v>
      </c>
      <c r="V75" s="331">
        <v>0</v>
      </c>
      <c r="W75" s="331">
        <v>2</v>
      </c>
      <c r="X75" s="331">
        <v>1248</v>
      </c>
      <c r="Y75" s="331" t="s">
        <v>425</v>
      </c>
      <c r="Z75" s="331" t="str">
        <f t="shared" si="3"/>
        <v>Duplex, Triplex, Fourplex</v>
      </c>
      <c r="AA75" s="331" t="s">
        <v>300</v>
      </c>
      <c r="AB75" s="331" t="s">
        <v>301</v>
      </c>
      <c r="AC75" s="331"/>
      <c r="AD75" s="331" t="s">
        <v>302</v>
      </c>
      <c r="AE75" s="332">
        <v>-9999</v>
      </c>
      <c r="AF75" s="333" t="s">
        <v>195</v>
      </c>
      <c r="AG75" s="331">
        <v>6</v>
      </c>
      <c r="AH75" s="331">
        <v>5</v>
      </c>
      <c r="AI75" s="334">
        <v>6828.9252693799999</v>
      </c>
      <c r="AJ75" s="335">
        <f t="shared" si="4"/>
        <v>0.15677055255693295</v>
      </c>
      <c r="AK75" s="335" t="str">
        <f t="shared" si="5"/>
        <v>FZ with SLR</v>
      </c>
    </row>
    <row r="76" spans="1:40">
      <c r="A76" s="331">
        <v>318</v>
      </c>
      <c r="B76" s="331" t="s">
        <v>650</v>
      </c>
      <c r="C76" s="331" t="s">
        <v>650</v>
      </c>
      <c r="D76" s="331" t="s">
        <v>651</v>
      </c>
      <c r="E76" s="331" t="s">
        <v>652</v>
      </c>
      <c r="F76" s="331"/>
      <c r="G76" s="332">
        <v>0</v>
      </c>
      <c r="H76" s="331" t="s">
        <v>429</v>
      </c>
      <c r="I76" s="331" t="s">
        <v>307</v>
      </c>
      <c r="J76" s="331" t="s">
        <v>381</v>
      </c>
      <c r="K76" s="331"/>
      <c r="L76" s="331" t="s">
        <v>296</v>
      </c>
      <c r="M76" s="331" t="s">
        <v>297</v>
      </c>
      <c r="N76" s="331">
        <v>23016</v>
      </c>
      <c r="O76" s="331">
        <v>16924</v>
      </c>
      <c r="P76" s="331">
        <v>0</v>
      </c>
      <c r="Q76" s="331" t="s">
        <v>298</v>
      </c>
      <c r="R76" s="331">
        <v>0</v>
      </c>
      <c r="S76" s="331">
        <v>3</v>
      </c>
      <c r="T76" s="331"/>
      <c r="U76" s="331">
        <v>0</v>
      </c>
      <c r="V76" s="331">
        <v>2</v>
      </c>
      <c r="W76" s="331">
        <v>3</v>
      </c>
      <c r="X76" s="331">
        <v>2987</v>
      </c>
      <c r="Y76" s="331" t="s">
        <v>498</v>
      </c>
      <c r="Z76" s="331" t="str">
        <f t="shared" si="3"/>
        <v>Duplex, Triplex, Fourplex</v>
      </c>
      <c r="AA76" s="331" t="s">
        <v>300</v>
      </c>
      <c r="AB76" s="331" t="s">
        <v>301</v>
      </c>
      <c r="AC76" s="331" t="s">
        <v>438</v>
      </c>
      <c r="AD76" s="331" t="s">
        <v>302</v>
      </c>
      <c r="AE76" s="332">
        <v>-9999</v>
      </c>
      <c r="AF76" s="333" t="s">
        <v>195</v>
      </c>
      <c r="AG76" s="331">
        <v>6</v>
      </c>
      <c r="AH76" s="331">
        <v>5</v>
      </c>
      <c r="AI76" s="334">
        <v>14178.904722499999</v>
      </c>
      <c r="AJ76" s="335">
        <f t="shared" si="4"/>
        <v>0.32550286323461891</v>
      </c>
      <c r="AK76" s="335" t="str">
        <f t="shared" si="5"/>
        <v>FZ with SLR</v>
      </c>
    </row>
    <row r="77" spans="1:40">
      <c r="A77" s="331">
        <v>332</v>
      </c>
      <c r="B77" s="331" t="s">
        <v>653</v>
      </c>
      <c r="C77" s="331" t="s">
        <v>653</v>
      </c>
      <c r="D77" s="331" t="s">
        <v>654</v>
      </c>
      <c r="E77" s="331" t="s">
        <v>655</v>
      </c>
      <c r="F77" s="331"/>
      <c r="G77" s="332">
        <v>0</v>
      </c>
      <c r="H77" s="331" t="s">
        <v>620</v>
      </c>
      <c r="I77" s="331" t="s">
        <v>294</v>
      </c>
      <c r="J77" s="331" t="s">
        <v>656</v>
      </c>
      <c r="K77" s="331"/>
      <c r="L77" s="331" t="s">
        <v>296</v>
      </c>
      <c r="M77" s="331" t="s">
        <v>297</v>
      </c>
      <c r="N77" s="331">
        <v>41804</v>
      </c>
      <c r="O77" s="331">
        <v>178193</v>
      </c>
      <c r="P77" s="331">
        <v>0</v>
      </c>
      <c r="Q77" s="331" t="s">
        <v>298</v>
      </c>
      <c r="R77" s="331">
        <v>1</v>
      </c>
      <c r="S77" s="331">
        <v>1</v>
      </c>
      <c r="T77" s="331"/>
      <c r="U77" s="331">
        <v>0</v>
      </c>
      <c r="V77" s="331">
        <v>2</v>
      </c>
      <c r="W77" s="331">
        <v>3</v>
      </c>
      <c r="X77" s="331">
        <v>2940</v>
      </c>
      <c r="Y77" s="331" t="s">
        <v>503</v>
      </c>
      <c r="Z77" s="331" t="str">
        <f t="shared" si="3"/>
        <v>Duplex, Triplex, Fourplex</v>
      </c>
      <c r="AA77" s="331" t="s">
        <v>300</v>
      </c>
      <c r="AB77" s="331" t="s">
        <v>301</v>
      </c>
      <c r="AC77" s="331"/>
      <c r="AD77" s="331" t="s">
        <v>302</v>
      </c>
      <c r="AE77" s="332">
        <v>-9999</v>
      </c>
      <c r="AF77" s="333" t="s">
        <v>195</v>
      </c>
      <c r="AG77" s="331">
        <v>6</v>
      </c>
      <c r="AH77" s="331">
        <v>5</v>
      </c>
      <c r="AI77" s="334">
        <v>5951.1177135899998</v>
      </c>
      <c r="AJ77" s="335">
        <f t="shared" si="4"/>
        <v>0.1366188639483471</v>
      </c>
      <c r="AK77" s="335" t="str">
        <f t="shared" si="5"/>
        <v>FZ with SLR</v>
      </c>
    </row>
    <row r="78" spans="1:40">
      <c r="A78" s="331">
        <v>324</v>
      </c>
      <c r="B78" s="331" t="s">
        <v>657</v>
      </c>
      <c r="C78" s="331" t="s">
        <v>657</v>
      </c>
      <c r="D78" s="331" t="s">
        <v>658</v>
      </c>
      <c r="E78" s="331" t="s">
        <v>659</v>
      </c>
      <c r="F78" s="331"/>
      <c r="G78" s="332">
        <v>0</v>
      </c>
      <c r="H78" s="331" t="s">
        <v>612</v>
      </c>
      <c r="I78" s="331" t="s">
        <v>294</v>
      </c>
      <c r="J78" s="331" t="s">
        <v>660</v>
      </c>
      <c r="K78" s="331"/>
      <c r="L78" s="331" t="s">
        <v>296</v>
      </c>
      <c r="M78" s="331" t="s">
        <v>297</v>
      </c>
      <c r="N78" s="331">
        <v>82390</v>
      </c>
      <c r="O78" s="331">
        <v>225847</v>
      </c>
      <c r="P78" s="331">
        <v>0</v>
      </c>
      <c r="Q78" s="331" t="s">
        <v>298</v>
      </c>
      <c r="R78" s="331">
        <v>0</v>
      </c>
      <c r="S78" s="331">
        <v>3</v>
      </c>
      <c r="T78" s="331"/>
      <c r="U78" s="331">
        <v>0</v>
      </c>
      <c r="V78" s="331">
        <v>2</v>
      </c>
      <c r="W78" s="331">
        <v>4</v>
      </c>
      <c r="X78" s="331">
        <v>2786</v>
      </c>
      <c r="Y78" s="331" t="s">
        <v>498</v>
      </c>
      <c r="Z78" s="331" t="str">
        <f t="shared" si="3"/>
        <v>Duplex, Triplex, Fourplex</v>
      </c>
      <c r="AA78" s="331" t="s">
        <v>300</v>
      </c>
      <c r="AB78" s="331" t="s">
        <v>301</v>
      </c>
      <c r="AC78" s="331"/>
      <c r="AD78" s="331" t="s">
        <v>302</v>
      </c>
      <c r="AE78" s="332">
        <v>-9999</v>
      </c>
      <c r="AF78" s="333" t="s">
        <v>195</v>
      </c>
      <c r="AG78" s="331">
        <v>6</v>
      </c>
      <c r="AH78" s="331">
        <v>5</v>
      </c>
      <c r="AI78" s="334">
        <v>4925.5067086700001</v>
      </c>
      <c r="AJ78" s="335">
        <f t="shared" si="4"/>
        <v>0.11307407503833793</v>
      </c>
      <c r="AK78" s="335" t="str">
        <f t="shared" si="5"/>
        <v>FZ with SLR</v>
      </c>
    </row>
    <row r="79" spans="1:40">
      <c r="A79" s="331">
        <v>320</v>
      </c>
      <c r="B79" s="331" t="s">
        <v>661</v>
      </c>
      <c r="C79" s="331" t="s">
        <v>661</v>
      </c>
      <c r="D79" s="331" t="s">
        <v>662</v>
      </c>
      <c r="E79" s="331" t="s">
        <v>663</v>
      </c>
      <c r="F79" s="331"/>
      <c r="G79" s="332">
        <v>0</v>
      </c>
      <c r="H79" s="331" t="s">
        <v>604</v>
      </c>
      <c r="I79" s="331" t="s">
        <v>307</v>
      </c>
      <c r="J79" s="331" t="s">
        <v>664</v>
      </c>
      <c r="K79" s="331"/>
      <c r="L79" s="331" t="s">
        <v>296</v>
      </c>
      <c r="M79" s="331" t="s">
        <v>297</v>
      </c>
      <c r="N79" s="331">
        <v>69279</v>
      </c>
      <c r="O79" s="331">
        <v>171538</v>
      </c>
      <c r="P79" s="331">
        <v>0</v>
      </c>
      <c r="Q79" s="331" t="s">
        <v>298</v>
      </c>
      <c r="R79" s="331">
        <v>1</v>
      </c>
      <c r="S79" s="331">
        <v>1</v>
      </c>
      <c r="T79" s="331"/>
      <c r="U79" s="331">
        <v>0</v>
      </c>
      <c r="V79" s="331">
        <v>2</v>
      </c>
      <c r="W79" s="331">
        <v>4</v>
      </c>
      <c r="X79" s="331">
        <v>3216</v>
      </c>
      <c r="Y79" s="331" t="s">
        <v>517</v>
      </c>
      <c r="Z79" s="331" t="str">
        <f t="shared" si="3"/>
        <v>Duplex, Triplex, Fourplex</v>
      </c>
      <c r="AA79" s="331" t="s">
        <v>300</v>
      </c>
      <c r="AB79" s="331" t="s">
        <v>301</v>
      </c>
      <c r="AC79" s="331"/>
      <c r="AD79" s="331" t="s">
        <v>302</v>
      </c>
      <c r="AE79" s="332">
        <v>-9999</v>
      </c>
      <c r="AF79" s="333" t="s">
        <v>195</v>
      </c>
      <c r="AG79" s="331">
        <v>6</v>
      </c>
      <c r="AH79" s="331">
        <v>5</v>
      </c>
      <c r="AI79" s="334">
        <v>6693.7453724999996</v>
      </c>
      <c r="AJ79" s="335">
        <f t="shared" si="4"/>
        <v>0.15366724913911844</v>
      </c>
      <c r="AK79" s="335" t="str">
        <f t="shared" si="5"/>
        <v>FZ with SLR</v>
      </c>
    </row>
    <row r="80" spans="1:40">
      <c r="A80" s="331">
        <v>333</v>
      </c>
      <c r="B80" s="331" t="s">
        <v>665</v>
      </c>
      <c r="C80" s="331" t="s">
        <v>665</v>
      </c>
      <c r="D80" s="331" t="s">
        <v>666</v>
      </c>
      <c r="E80" s="331" t="s">
        <v>667</v>
      </c>
      <c r="F80" s="331"/>
      <c r="G80" s="332">
        <v>0</v>
      </c>
      <c r="H80" s="331" t="s">
        <v>620</v>
      </c>
      <c r="I80" s="331" t="s">
        <v>294</v>
      </c>
      <c r="J80" s="331" t="s">
        <v>668</v>
      </c>
      <c r="K80" s="331"/>
      <c r="L80" s="331" t="s">
        <v>296</v>
      </c>
      <c r="M80" s="331" t="s">
        <v>297</v>
      </c>
      <c r="N80" s="331">
        <v>35862</v>
      </c>
      <c r="O80" s="331">
        <v>271527</v>
      </c>
      <c r="P80" s="331">
        <v>0</v>
      </c>
      <c r="Q80" s="331" t="s">
        <v>298</v>
      </c>
      <c r="R80" s="331">
        <v>1</v>
      </c>
      <c r="S80" s="331">
        <v>1</v>
      </c>
      <c r="T80" s="331"/>
      <c r="U80" s="331">
        <v>0</v>
      </c>
      <c r="V80" s="331">
        <v>2</v>
      </c>
      <c r="W80" s="331">
        <v>4</v>
      </c>
      <c r="X80" s="331">
        <v>3696</v>
      </c>
      <c r="Y80" s="331" t="s">
        <v>517</v>
      </c>
      <c r="Z80" s="331" t="str">
        <f t="shared" si="3"/>
        <v>Duplex, Triplex, Fourplex</v>
      </c>
      <c r="AA80" s="331" t="s">
        <v>300</v>
      </c>
      <c r="AB80" s="331" t="s">
        <v>301</v>
      </c>
      <c r="AC80" s="331"/>
      <c r="AD80" s="331" t="s">
        <v>302</v>
      </c>
      <c r="AE80" s="332">
        <v>-9999</v>
      </c>
      <c r="AF80" s="333" t="s">
        <v>195</v>
      </c>
      <c r="AG80" s="331">
        <v>6</v>
      </c>
      <c r="AH80" s="331">
        <v>5</v>
      </c>
      <c r="AI80" s="334">
        <v>5897.2803509799996</v>
      </c>
      <c r="AJ80" s="335">
        <f t="shared" si="4"/>
        <v>0.13538292816758493</v>
      </c>
      <c r="AK80" s="335" t="str">
        <f t="shared" si="5"/>
        <v>FZ with SLR</v>
      </c>
    </row>
    <row r="81" spans="1:39">
      <c r="A81" s="331">
        <v>336</v>
      </c>
      <c r="B81" s="331" t="s">
        <v>669</v>
      </c>
      <c r="C81" s="331" t="s">
        <v>669</v>
      </c>
      <c r="D81" s="331" t="s">
        <v>670</v>
      </c>
      <c r="E81" s="331" t="s">
        <v>671</v>
      </c>
      <c r="F81" s="331"/>
      <c r="G81" s="332">
        <v>0</v>
      </c>
      <c r="H81" s="331" t="s">
        <v>620</v>
      </c>
      <c r="I81" s="331" t="s">
        <v>294</v>
      </c>
      <c r="J81" s="331" t="s">
        <v>672</v>
      </c>
      <c r="K81" s="331"/>
      <c r="L81" s="331" t="s">
        <v>296</v>
      </c>
      <c r="M81" s="331" t="s">
        <v>297</v>
      </c>
      <c r="N81" s="331">
        <v>89900</v>
      </c>
      <c r="O81" s="331">
        <v>210100</v>
      </c>
      <c r="P81" s="331">
        <v>0</v>
      </c>
      <c r="Q81" s="331" t="s">
        <v>298</v>
      </c>
      <c r="R81" s="331">
        <v>1</v>
      </c>
      <c r="S81" s="331">
        <v>1</v>
      </c>
      <c r="T81" s="331"/>
      <c r="U81" s="331">
        <v>0</v>
      </c>
      <c r="V81" s="331">
        <v>2</v>
      </c>
      <c r="W81" s="331">
        <v>4</v>
      </c>
      <c r="X81" s="331">
        <v>3036</v>
      </c>
      <c r="Y81" s="331" t="s">
        <v>517</v>
      </c>
      <c r="Z81" s="331" t="str">
        <f t="shared" si="3"/>
        <v>Duplex, Triplex, Fourplex</v>
      </c>
      <c r="AA81" s="331" t="s">
        <v>300</v>
      </c>
      <c r="AB81" s="331" t="s">
        <v>301</v>
      </c>
      <c r="AC81" s="331"/>
      <c r="AD81" s="331" t="s">
        <v>302</v>
      </c>
      <c r="AE81" s="332">
        <v>-9999</v>
      </c>
      <c r="AF81" s="333" t="s">
        <v>195</v>
      </c>
      <c r="AG81" s="331">
        <v>6</v>
      </c>
      <c r="AH81" s="331">
        <v>5</v>
      </c>
      <c r="AI81" s="334">
        <v>5305.2940773</v>
      </c>
      <c r="AJ81" s="335">
        <f t="shared" si="4"/>
        <v>0.12179279332644628</v>
      </c>
      <c r="AK81" s="335" t="str">
        <f t="shared" si="5"/>
        <v>FZ with SLR</v>
      </c>
    </row>
    <row r="82" spans="1:39">
      <c r="A82" s="336">
        <v>1075</v>
      </c>
      <c r="B82" s="336" t="s">
        <v>673</v>
      </c>
      <c r="C82" s="336" t="s">
        <v>673</v>
      </c>
      <c r="D82" s="336" t="s">
        <v>674</v>
      </c>
      <c r="E82" s="336" t="s">
        <v>675</v>
      </c>
      <c r="F82" s="336"/>
      <c r="G82" s="337">
        <v>0</v>
      </c>
      <c r="H82" s="336" t="s">
        <v>676</v>
      </c>
      <c r="I82" s="336" t="s">
        <v>294</v>
      </c>
      <c r="J82" s="336" t="s">
        <v>677</v>
      </c>
      <c r="K82" s="336"/>
      <c r="L82" s="336" t="s">
        <v>369</v>
      </c>
      <c r="M82" s="336" t="s">
        <v>370</v>
      </c>
      <c r="N82" s="336">
        <v>52031</v>
      </c>
      <c r="O82" s="336">
        <v>426664</v>
      </c>
      <c r="P82" s="336">
        <v>0</v>
      </c>
      <c r="Q82" s="336" t="s">
        <v>298</v>
      </c>
      <c r="R82" s="336">
        <v>1</v>
      </c>
      <c r="S82" s="336">
        <v>1</v>
      </c>
      <c r="T82" s="336"/>
      <c r="U82" s="336">
        <v>0</v>
      </c>
      <c r="V82" s="336">
        <v>2</v>
      </c>
      <c r="W82" s="336">
        <v>5</v>
      </c>
      <c r="X82" s="336">
        <v>5049</v>
      </c>
      <c r="Y82" s="336" t="s">
        <v>299</v>
      </c>
      <c r="Z82" s="336" t="str">
        <f t="shared" si="3"/>
        <v>Apartments</v>
      </c>
      <c r="AA82" s="336" t="s">
        <v>300</v>
      </c>
      <c r="AB82" s="336" t="s">
        <v>301</v>
      </c>
      <c r="AC82" s="336" t="s">
        <v>351</v>
      </c>
      <c r="AD82" s="336" t="s">
        <v>678</v>
      </c>
      <c r="AE82" s="337">
        <v>-9999</v>
      </c>
      <c r="AF82" s="338">
        <v>10</v>
      </c>
      <c r="AG82" s="336">
        <v>10</v>
      </c>
      <c r="AH82" s="336">
        <v>6</v>
      </c>
      <c r="AI82" s="339">
        <v>7022.9838226900001</v>
      </c>
      <c r="AJ82" s="340">
        <f t="shared" si="4"/>
        <v>0.1612255239368687</v>
      </c>
      <c r="AK82" s="340" t="str">
        <f t="shared" si="5"/>
        <v>SLR Adjacent</v>
      </c>
      <c r="AM82" s="204"/>
    </row>
    <row r="83" spans="1:39">
      <c r="A83" s="336">
        <v>1076</v>
      </c>
      <c r="B83" s="336" t="s">
        <v>679</v>
      </c>
      <c r="C83" s="336" t="s">
        <v>679</v>
      </c>
      <c r="D83" s="336" t="s">
        <v>680</v>
      </c>
      <c r="E83" s="336" t="s">
        <v>681</v>
      </c>
      <c r="F83" s="336"/>
      <c r="G83" s="337">
        <v>0</v>
      </c>
      <c r="H83" s="336" t="s">
        <v>682</v>
      </c>
      <c r="I83" s="336" t="s">
        <v>307</v>
      </c>
      <c r="J83" s="336" t="s">
        <v>683</v>
      </c>
      <c r="K83" s="336"/>
      <c r="L83" s="336" t="s">
        <v>369</v>
      </c>
      <c r="M83" s="336" t="s">
        <v>370</v>
      </c>
      <c r="N83" s="336">
        <v>33342</v>
      </c>
      <c r="O83" s="336">
        <v>100595</v>
      </c>
      <c r="P83" s="336">
        <v>0</v>
      </c>
      <c r="Q83" s="336" t="s">
        <v>298</v>
      </c>
      <c r="R83" s="336">
        <v>1</v>
      </c>
      <c r="S83" s="336">
        <v>1</v>
      </c>
      <c r="T83" s="336"/>
      <c r="U83" s="336">
        <v>0</v>
      </c>
      <c r="V83" s="336">
        <v>2</v>
      </c>
      <c r="W83" s="336">
        <v>5</v>
      </c>
      <c r="X83" s="336">
        <v>4030</v>
      </c>
      <c r="Y83" s="336" t="s">
        <v>299</v>
      </c>
      <c r="Z83" s="336" t="str">
        <f t="shared" si="3"/>
        <v>Apartments</v>
      </c>
      <c r="AA83" s="336" t="s">
        <v>300</v>
      </c>
      <c r="AB83" s="336" t="s">
        <v>301</v>
      </c>
      <c r="AC83" s="336" t="s">
        <v>351</v>
      </c>
      <c r="AD83" s="336" t="s">
        <v>678</v>
      </c>
      <c r="AE83" s="337">
        <v>-9999</v>
      </c>
      <c r="AF83" s="338">
        <v>10</v>
      </c>
      <c r="AG83" s="336">
        <v>10</v>
      </c>
      <c r="AH83" s="336">
        <v>6</v>
      </c>
      <c r="AI83" s="339">
        <v>6603.6613113599997</v>
      </c>
      <c r="AJ83" s="340">
        <f t="shared" si="4"/>
        <v>0.15159920365840221</v>
      </c>
      <c r="AK83" s="340" t="str">
        <f t="shared" si="5"/>
        <v>SLR Adjacent</v>
      </c>
    </row>
    <row r="84" spans="1:39">
      <c r="A84" s="336">
        <v>1078</v>
      </c>
      <c r="B84" s="336" t="s">
        <v>684</v>
      </c>
      <c r="C84" s="336" t="s">
        <v>684</v>
      </c>
      <c r="D84" s="336" t="s">
        <v>685</v>
      </c>
      <c r="E84" s="336" t="s">
        <v>686</v>
      </c>
      <c r="F84" s="336"/>
      <c r="G84" s="337">
        <v>0</v>
      </c>
      <c r="H84" s="336" t="s">
        <v>687</v>
      </c>
      <c r="I84" s="336" t="s">
        <v>294</v>
      </c>
      <c r="J84" s="336" t="s">
        <v>688</v>
      </c>
      <c r="K84" s="336"/>
      <c r="L84" s="336" t="s">
        <v>369</v>
      </c>
      <c r="M84" s="336" t="s">
        <v>370</v>
      </c>
      <c r="N84" s="336">
        <v>82204</v>
      </c>
      <c r="O84" s="336">
        <v>119200</v>
      </c>
      <c r="P84" s="336">
        <v>0</v>
      </c>
      <c r="Q84" s="336" t="s">
        <v>298</v>
      </c>
      <c r="R84" s="336">
        <v>1</v>
      </c>
      <c r="S84" s="336">
        <v>1</v>
      </c>
      <c r="T84" s="336"/>
      <c r="U84" s="336">
        <v>0</v>
      </c>
      <c r="V84" s="336">
        <v>2</v>
      </c>
      <c r="W84" s="336">
        <v>6</v>
      </c>
      <c r="X84" s="336">
        <v>4432</v>
      </c>
      <c r="Y84" s="336" t="s">
        <v>299</v>
      </c>
      <c r="Z84" s="336" t="str">
        <f t="shared" si="3"/>
        <v>Apartments</v>
      </c>
      <c r="AA84" s="336" t="s">
        <v>300</v>
      </c>
      <c r="AB84" s="336" t="s">
        <v>301</v>
      </c>
      <c r="AC84" s="336" t="s">
        <v>359</v>
      </c>
      <c r="AD84" s="336" t="s">
        <v>678</v>
      </c>
      <c r="AE84" s="337">
        <v>-9999</v>
      </c>
      <c r="AF84" s="338">
        <v>10</v>
      </c>
      <c r="AG84" s="336">
        <v>10</v>
      </c>
      <c r="AH84" s="336">
        <v>6</v>
      </c>
      <c r="AI84" s="339">
        <v>7285.8484035900001</v>
      </c>
      <c r="AJ84" s="340">
        <f t="shared" si="4"/>
        <v>0.16726006436157026</v>
      </c>
      <c r="AK84" s="340" t="str">
        <f t="shared" si="5"/>
        <v>SLR Adjacent</v>
      </c>
    </row>
    <row r="85" spans="1:39">
      <c r="A85" s="336">
        <v>1104</v>
      </c>
      <c r="B85" s="336" t="s">
        <v>689</v>
      </c>
      <c r="C85" s="336" t="s">
        <v>689</v>
      </c>
      <c r="D85" s="336" t="s">
        <v>690</v>
      </c>
      <c r="E85" s="336" t="s">
        <v>691</v>
      </c>
      <c r="F85" s="336"/>
      <c r="G85" s="337">
        <v>0.17199999999999999</v>
      </c>
      <c r="H85" s="336" t="s">
        <v>692</v>
      </c>
      <c r="I85" s="336" t="s">
        <v>294</v>
      </c>
      <c r="J85" s="336" t="s">
        <v>693</v>
      </c>
      <c r="K85" s="336"/>
      <c r="L85" s="336" t="s">
        <v>369</v>
      </c>
      <c r="M85" s="336" t="s">
        <v>370</v>
      </c>
      <c r="N85" s="336">
        <v>183833</v>
      </c>
      <c r="O85" s="336">
        <v>328805</v>
      </c>
      <c r="P85" s="336">
        <v>0</v>
      </c>
      <c r="Q85" s="336" t="s">
        <v>298</v>
      </c>
      <c r="R85" s="336">
        <v>1</v>
      </c>
      <c r="S85" s="336">
        <v>1</v>
      </c>
      <c r="T85" s="336"/>
      <c r="U85" s="336">
        <v>0</v>
      </c>
      <c r="V85" s="336">
        <v>2</v>
      </c>
      <c r="W85" s="336">
        <v>6</v>
      </c>
      <c r="X85" s="336">
        <v>4212</v>
      </c>
      <c r="Y85" s="336" t="s">
        <v>299</v>
      </c>
      <c r="Z85" s="336" t="str">
        <f t="shared" si="3"/>
        <v>Apartments</v>
      </c>
      <c r="AA85" s="336" t="s">
        <v>300</v>
      </c>
      <c r="AB85" s="336" t="s">
        <v>301</v>
      </c>
      <c r="AC85" s="336" t="s">
        <v>351</v>
      </c>
      <c r="AD85" s="336" t="s">
        <v>678</v>
      </c>
      <c r="AE85" s="337">
        <v>-9999</v>
      </c>
      <c r="AF85" s="338">
        <v>10</v>
      </c>
      <c r="AG85" s="336">
        <v>10</v>
      </c>
      <c r="AH85" s="336">
        <v>6</v>
      </c>
      <c r="AI85" s="339">
        <v>7424.67324801</v>
      </c>
      <c r="AJ85" s="340">
        <f t="shared" si="4"/>
        <v>0.17044704426101928</v>
      </c>
      <c r="AK85" s="340" t="str">
        <f t="shared" si="5"/>
        <v>SLR Adjacent</v>
      </c>
    </row>
    <row r="86" spans="1:39">
      <c r="A86" s="336">
        <v>1101</v>
      </c>
      <c r="B86" s="336" t="s">
        <v>694</v>
      </c>
      <c r="C86" s="336" t="s">
        <v>694</v>
      </c>
      <c r="D86" s="336" t="s">
        <v>695</v>
      </c>
      <c r="E86" s="336" t="s">
        <v>696</v>
      </c>
      <c r="F86" s="336"/>
      <c r="G86" s="337">
        <v>0</v>
      </c>
      <c r="H86" s="336" t="s">
        <v>697</v>
      </c>
      <c r="I86" s="336" t="s">
        <v>294</v>
      </c>
      <c r="J86" s="336" t="s">
        <v>698</v>
      </c>
      <c r="K86" s="336"/>
      <c r="L86" s="336" t="s">
        <v>369</v>
      </c>
      <c r="M86" s="336" t="s">
        <v>370</v>
      </c>
      <c r="N86" s="336">
        <v>252700</v>
      </c>
      <c r="O86" s="336">
        <v>657300</v>
      </c>
      <c r="P86" s="336">
        <v>0</v>
      </c>
      <c r="Q86" s="336" t="s">
        <v>298</v>
      </c>
      <c r="R86" s="336">
        <v>1</v>
      </c>
      <c r="S86" s="336">
        <v>1</v>
      </c>
      <c r="T86" s="336"/>
      <c r="U86" s="336">
        <v>0</v>
      </c>
      <c r="V86" s="336">
        <v>2</v>
      </c>
      <c r="W86" s="336">
        <v>7</v>
      </c>
      <c r="X86" s="336">
        <v>5997</v>
      </c>
      <c r="Y86" s="336" t="s">
        <v>299</v>
      </c>
      <c r="Z86" s="336" t="str">
        <f t="shared" si="3"/>
        <v>Apartments</v>
      </c>
      <c r="AA86" s="336" t="s">
        <v>300</v>
      </c>
      <c r="AB86" s="336" t="s">
        <v>301</v>
      </c>
      <c r="AC86" s="336" t="s">
        <v>351</v>
      </c>
      <c r="AD86" s="336" t="s">
        <v>678</v>
      </c>
      <c r="AE86" s="337">
        <v>-9999</v>
      </c>
      <c r="AF86" s="338">
        <v>10</v>
      </c>
      <c r="AG86" s="336">
        <v>10</v>
      </c>
      <c r="AH86" s="336">
        <v>6</v>
      </c>
      <c r="AI86" s="339">
        <v>8895.7127383400002</v>
      </c>
      <c r="AJ86" s="340">
        <f t="shared" si="4"/>
        <v>0.20421746414921949</v>
      </c>
      <c r="AK86" s="340" t="str">
        <f t="shared" si="5"/>
        <v>SLR Adjacent</v>
      </c>
    </row>
    <row r="87" spans="1:39">
      <c r="A87" s="336">
        <v>2845</v>
      </c>
      <c r="B87" s="336" t="s">
        <v>699</v>
      </c>
      <c r="C87" s="336" t="s">
        <v>699</v>
      </c>
      <c r="D87" s="336" t="s">
        <v>700</v>
      </c>
      <c r="E87" s="336" t="s">
        <v>701</v>
      </c>
      <c r="F87" s="336"/>
      <c r="G87" s="337">
        <v>0</v>
      </c>
      <c r="H87" s="336" t="s">
        <v>702</v>
      </c>
      <c r="I87" s="336" t="s">
        <v>294</v>
      </c>
      <c r="J87" s="336" t="s">
        <v>703</v>
      </c>
      <c r="K87" s="336"/>
      <c r="L87" s="336" t="s">
        <v>369</v>
      </c>
      <c r="M87" s="336" t="s">
        <v>704</v>
      </c>
      <c r="N87" s="336">
        <v>100454</v>
      </c>
      <c r="O87" s="336">
        <v>267207</v>
      </c>
      <c r="P87" s="336">
        <v>0</v>
      </c>
      <c r="Q87" s="336" t="s">
        <v>298</v>
      </c>
      <c r="R87" s="336">
        <v>1</v>
      </c>
      <c r="S87" s="336">
        <v>1</v>
      </c>
      <c r="T87" s="336"/>
      <c r="U87" s="336">
        <v>0</v>
      </c>
      <c r="V87" s="336">
        <v>2</v>
      </c>
      <c r="W87" s="336">
        <v>7</v>
      </c>
      <c r="X87" s="336">
        <v>3765</v>
      </c>
      <c r="Y87" s="336" t="s">
        <v>299</v>
      </c>
      <c r="Z87" s="336" t="str">
        <f t="shared" si="3"/>
        <v>Apartments</v>
      </c>
      <c r="AA87" s="336" t="s">
        <v>300</v>
      </c>
      <c r="AB87" s="336" t="s">
        <v>301</v>
      </c>
      <c r="AC87" s="336" t="s">
        <v>351</v>
      </c>
      <c r="AD87" s="336" t="s">
        <v>678</v>
      </c>
      <c r="AE87" s="337">
        <v>-9999</v>
      </c>
      <c r="AF87" s="338">
        <v>10</v>
      </c>
      <c r="AG87" s="336">
        <v>10</v>
      </c>
      <c r="AH87" s="336">
        <v>6</v>
      </c>
      <c r="AI87" s="339">
        <v>7458.6578754599996</v>
      </c>
      <c r="AJ87" s="340">
        <f t="shared" si="4"/>
        <v>0.17122722395454545</v>
      </c>
      <c r="AK87" s="340" t="str">
        <f t="shared" si="5"/>
        <v>SLR Adjacent</v>
      </c>
    </row>
    <row r="88" spans="1:39">
      <c r="A88" s="336">
        <v>983</v>
      </c>
      <c r="B88" s="336" t="s">
        <v>705</v>
      </c>
      <c r="C88" s="336" t="s">
        <v>705</v>
      </c>
      <c r="D88" s="336" t="s">
        <v>706</v>
      </c>
      <c r="E88" s="336" t="s">
        <v>707</v>
      </c>
      <c r="F88" s="336"/>
      <c r="G88" s="337">
        <v>0</v>
      </c>
      <c r="H88" s="336" t="s">
        <v>708</v>
      </c>
      <c r="I88" s="336" t="s">
        <v>307</v>
      </c>
      <c r="J88" s="336" t="s">
        <v>709</v>
      </c>
      <c r="K88" s="336"/>
      <c r="L88" s="336" t="s">
        <v>369</v>
      </c>
      <c r="M88" s="336" t="s">
        <v>704</v>
      </c>
      <c r="N88" s="336">
        <v>42119</v>
      </c>
      <c r="O88" s="336">
        <v>221127</v>
      </c>
      <c r="P88" s="336">
        <v>0</v>
      </c>
      <c r="Q88" s="336" t="s">
        <v>298</v>
      </c>
      <c r="R88" s="336">
        <v>1</v>
      </c>
      <c r="S88" s="336">
        <v>1</v>
      </c>
      <c r="T88" s="336"/>
      <c r="U88" s="336">
        <v>0</v>
      </c>
      <c r="V88" s="336">
        <v>2</v>
      </c>
      <c r="W88" s="336">
        <v>8</v>
      </c>
      <c r="X88" s="336">
        <v>4980</v>
      </c>
      <c r="Y88" s="336" t="s">
        <v>299</v>
      </c>
      <c r="Z88" s="336" t="str">
        <f t="shared" si="3"/>
        <v>Apartments</v>
      </c>
      <c r="AA88" s="336" t="s">
        <v>300</v>
      </c>
      <c r="AB88" s="336" t="s">
        <v>301</v>
      </c>
      <c r="AC88" s="336" t="s">
        <v>351</v>
      </c>
      <c r="AD88" s="336" t="s">
        <v>678</v>
      </c>
      <c r="AE88" s="337">
        <v>-9999</v>
      </c>
      <c r="AF88" s="338">
        <v>10</v>
      </c>
      <c r="AG88" s="336">
        <v>10</v>
      </c>
      <c r="AH88" s="336">
        <v>6</v>
      </c>
      <c r="AI88" s="339">
        <v>4898.2864361499996</v>
      </c>
      <c r="AJ88" s="340">
        <f t="shared" si="4"/>
        <v>0.11244918356634526</v>
      </c>
      <c r="AK88" s="340" t="str">
        <f t="shared" si="5"/>
        <v>SLR Adjacent</v>
      </c>
    </row>
    <row r="89" spans="1:39">
      <c r="A89" s="336">
        <v>1016</v>
      </c>
      <c r="B89" s="336" t="s">
        <v>710</v>
      </c>
      <c r="C89" s="336" t="s">
        <v>710</v>
      </c>
      <c r="D89" s="336" t="s">
        <v>711</v>
      </c>
      <c r="E89" s="336" t="s">
        <v>712</v>
      </c>
      <c r="F89" s="336"/>
      <c r="G89" s="337">
        <v>0</v>
      </c>
      <c r="H89" s="336" t="s">
        <v>682</v>
      </c>
      <c r="I89" s="336" t="s">
        <v>307</v>
      </c>
      <c r="J89" s="336" t="s">
        <v>713</v>
      </c>
      <c r="K89" s="336"/>
      <c r="L89" s="336" t="s">
        <v>369</v>
      </c>
      <c r="M89" s="336" t="s">
        <v>370</v>
      </c>
      <c r="N89" s="336">
        <v>300000</v>
      </c>
      <c r="O89" s="336">
        <v>500000</v>
      </c>
      <c r="P89" s="336">
        <v>0</v>
      </c>
      <c r="Q89" s="336" t="s">
        <v>298</v>
      </c>
      <c r="R89" s="336">
        <v>0</v>
      </c>
      <c r="S89" s="336">
        <v>3</v>
      </c>
      <c r="T89" s="336"/>
      <c r="U89" s="336">
        <v>0</v>
      </c>
      <c r="V89" s="336">
        <v>1</v>
      </c>
      <c r="W89" s="336">
        <v>8</v>
      </c>
      <c r="X89" s="336">
        <v>5262</v>
      </c>
      <c r="Y89" s="336" t="s">
        <v>299</v>
      </c>
      <c r="Z89" s="336" t="str">
        <f t="shared" si="3"/>
        <v>Apartments</v>
      </c>
      <c r="AA89" s="336" t="s">
        <v>300</v>
      </c>
      <c r="AB89" s="336" t="s">
        <v>301</v>
      </c>
      <c r="AC89" s="336" t="s">
        <v>351</v>
      </c>
      <c r="AD89" s="336" t="s">
        <v>678</v>
      </c>
      <c r="AE89" s="337">
        <v>-9999</v>
      </c>
      <c r="AF89" s="338">
        <v>10</v>
      </c>
      <c r="AG89" s="336">
        <v>10</v>
      </c>
      <c r="AH89" s="336">
        <v>6</v>
      </c>
      <c r="AI89" s="339">
        <v>16673.016428499999</v>
      </c>
      <c r="AJ89" s="340">
        <f t="shared" si="4"/>
        <v>0.38275978945133149</v>
      </c>
      <c r="AK89" s="340" t="str">
        <f t="shared" si="5"/>
        <v>SLR Adjacent</v>
      </c>
    </row>
    <row r="90" spans="1:39">
      <c r="A90" s="336">
        <v>1018</v>
      </c>
      <c r="B90" s="336" t="s">
        <v>714</v>
      </c>
      <c r="C90" s="336" t="s">
        <v>714</v>
      </c>
      <c r="D90" s="336" t="s">
        <v>715</v>
      </c>
      <c r="E90" s="336" t="s">
        <v>716</v>
      </c>
      <c r="F90" s="336"/>
      <c r="G90" s="337">
        <v>0</v>
      </c>
      <c r="H90" s="336" t="s">
        <v>682</v>
      </c>
      <c r="I90" s="336" t="s">
        <v>307</v>
      </c>
      <c r="J90" s="336" t="s">
        <v>717</v>
      </c>
      <c r="K90" s="336"/>
      <c r="L90" s="336" t="s">
        <v>369</v>
      </c>
      <c r="M90" s="336" t="s">
        <v>370</v>
      </c>
      <c r="N90" s="336">
        <v>379900</v>
      </c>
      <c r="O90" s="336">
        <v>682100</v>
      </c>
      <c r="P90" s="336">
        <v>0</v>
      </c>
      <c r="Q90" s="336" t="s">
        <v>298</v>
      </c>
      <c r="R90" s="336">
        <v>0</v>
      </c>
      <c r="S90" s="336">
        <v>4</v>
      </c>
      <c r="T90" s="336"/>
      <c r="U90" s="336">
        <v>0</v>
      </c>
      <c r="V90" s="336">
        <v>2</v>
      </c>
      <c r="W90" s="336">
        <v>10</v>
      </c>
      <c r="X90" s="336">
        <v>4121</v>
      </c>
      <c r="Y90" s="336" t="s">
        <v>299</v>
      </c>
      <c r="Z90" s="336" t="str">
        <f t="shared" si="3"/>
        <v>Apartments</v>
      </c>
      <c r="AA90" s="336" t="s">
        <v>300</v>
      </c>
      <c r="AB90" s="336" t="s">
        <v>301</v>
      </c>
      <c r="AC90" s="336" t="s">
        <v>359</v>
      </c>
      <c r="AD90" s="336" t="s">
        <v>678</v>
      </c>
      <c r="AE90" s="337">
        <v>-9999</v>
      </c>
      <c r="AF90" s="338">
        <v>10</v>
      </c>
      <c r="AG90" s="336">
        <v>10</v>
      </c>
      <c r="AH90" s="336">
        <v>6</v>
      </c>
      <c r="AI90" s="339">
        <v>10865.044878299999</v>
      </c>
      <c r="AJ90" s="340">
        <f t="shared" si="4"/>
        <v>0.24942710923553718</v>
      </c>
      <c r="AK90" s="340" t="str">
        <f t="shared" si="5"/>
        <v>SLR Adjacent</v>
      </c>
    </row>
    <row r="91" spans="1:39">
      <c r="A91" s="336">
        <v>1207</v>
      </c>
      <c r="B91" s="336" t="s">
        <v>718</v>
      </c>
      <c r="C91" s="336" t="s">
        <v>718</v>
      </c>
      <c r="D91" s="336" t="s">
        <v>719</v>
      </c>
      <c r="E91" s="336" t="s">
        <v>720</v>
      </c>
      <c r="F91" s="336"/>
      <c r="G91" s="337">
        <v>30.17</v>
      </c>
      <c r="H91" s="336" t="s">
        <v>721</v>
      </c>
      <c r="I91" s="336" t="s">
        <v>569</v>
      </c>
      <c r="J91" s="336"/>
      <c r="K91" s="336"/>
      <c r="L91" s="336" t="s">
        <v>369</v>
      </c>
      <c r="M91" s="336" t="s">
        <v>704</v>
      </c>
      <c r="N91" s="336">
        <v>6574155</v>
      </c>
      <c r="O91" s="336">
        <v>14158382</v>
      </c>
      <c r="P91" s="336">
        <v>0</v>
      </c>
      <c r="Q91" s="336" t="s">
        <v>722</v>
      </c>
      <c r="R91" s="336">
        <v>1</v>
      </c>
      <c r="S91" s="336">
        <v>1</v>
      </c>
      <c r="T91" s="336" t="s">
        <v>723</v>
      </c>
      <c r="U91" s="336">
        <v>0</v>
      </c>
      <c r="V91" s="336">
        <v>0</v>
      </c>
      <c r="W91" s="341" t="s">
        <v>26</v>
      </c>
      <c r="X91" s="336">
        <v>0</v>
      </c>
      <c r="Y91" s="336" t="s">
        <v>247</v>
      </c>
      <c r="Z91" s="336" t="str">
        <f>Y91</f>
        <v>Condos, cooperatives (-1 Single Family) (-2 Rossmoor)</v>
      </c>
      <c r="AA91" s="336" t="s">
        <v>300</v>
      </c>
      <c r="AB91" s="336" t="s">
        <v>301</v>
      </c>
      <c r="AC91" s="336" t="s">
        <v>351</v>
      </c>
      <c r="AD91" s="336" t="s">
        <v>678</v>
      </c>
      <c r="AE91" s="337">
        <v>-9999</v>
      </c>
      <c r="AF91" s="338">
        <v>10</v>
      </c>
      <c r="AG91" s="336">
        <v>10</v>
      </c>
      <c r="AH91" s="336">
        <v>6</v>
      </c>
      <c r="AI91" s="339">
        <v>1750462.71658</v>
      </c>
      <c r="AJ91" s="340">
        <f t="shared" si="4"/>
        <v>40.185094503673092</v>
      </c>
      <c r="AK91" s="340" t="str">
        <f t="shared" si="5"/>
        <v>SLR Adjacent</v>
      </c>
    </row>
    <row r="92" spans="1:39">
      <c r="A92" s="336">
        <v>2268</v>
      </c>
      <c r="B92" s="336" t="s">
        <v>724</v>
      </c>
      <c r="C92" s="336" t="s">
        <v>724</v>
      </c>
      <c r="D92" s="336" t="s">
        <v>725</v>
      </c>
      <c r="E92" s="336" t="s">
        <v>726</v>
      </c>
      <c r="F92" s="336"/>
      <c r="G92" s="337">
        <v>0</v>
      </c>
      <c r="H92" s="336" t="s">
        <v>727</v>
      </c>
      <c r="I92" s="336" t="s">
        <v>728</v>
      </c>
      <c r="J92" s="336" t="s">
        <v>729</v>
      </c>
      <c r="K92" s="336"/>
      <c r="L92" s="336" t="s">
        <v>369</v>
      </c>
      <c r="M92" s="336" t="s">
        <v>370</v>
      </c>
      <c r="N92" s="336">
        <v>61237</v>
      </c>
      <c r="O92" s="336">
        <v>107763</v>
      </c>
      <c r="P92" s="336">
        <v>0</v>
      </c>
      <c r="Q92" s="336" t="s">
        <v>423</v>
      </c>
      <c r="R92" s="336">
        <v>1</v>
      </c>
      <c r="S92" s="336">
        <v>1</v>
      </c>
      <c r="T92" s="336" t="s">
        <v>730</v>
      </c>
      <c r="U92" s="336">
        <v>2141</v>
      </c>
      <c r="V92" s="336">
        <v>0</v>
      </c>
      <c r="W92" s="341" t="s">
        <v>26</v>
      </c>
      <c r="X92" s="336">
        <v>0</v>
      </c>
      <c r="Y92" s="336" t="s">
        <v>247</v>
      </c>
      <c r="Z92" s="336" t="str">
        <f>Y92</f>
        <v>Condos, cooperatives (-1 Single Family) (-2 Rossmoor)</v>
      </c>
      <c r="AA92" s="336" t="s">
        <v>300</v>
      </c>
      <c r="AB92" s="336" t="s">
        <v>301</v>
      </c>
      <c r="AC92" s="336" t="s">
        <v>351</v>
      </c>
      <c r="AD92" s="336" t="s">
        <v>678</v>
      </c>
      <c r="AE92" s="337">
        <v>-9999</v>
      </c>
      <c r="AF92" s="338">
        <v>10</v>
      </c>
      <c r="AG92" s="336">
        <v>10</v>
      </c>
      <c r="AH92" s="336">
        <v>6</v>
      </c>
      <c r="AI92" s="339">
        <v>771.22204119100002</v>
      </c>
      <c r="AJ92" s="340">
        <f t="shared" si="4"/>
        <v>1.7704821882254362E-2</v>
      </c>
      <c r="AK92" s="340" t="str">
        <f t="shared" si="5"/>
        <v>SLR Adjacent</v>
      </c>
    </row>
    <row r="93" spans="1:39">
      <c r="A93" s="336">
        <v>984</v>
      </c>
      <c r="B93" s="336" t="s">
        <v>731</v>
      </c>
      <c r="C93" s="336" t="s">
        <v>731</v>
      </c>
      <c r="D93" s="336" t="s">
        <v>732</v>
      </c>
      <c r="E93" s="336" t="s">
        <v>733</v>
      </c>
      <c r="F93" s="336"/>
      <c r="G93" s="337">
        <v>0</v>
      </c>
      <c r="H93" s="336" t="s">
        <v>734</v>
      </c>
      <c r="I93" s="336" t="s">
        <v>294</v>
      </c>
      <c r="J93" s="336" t="s">
        <v>735</v>
      </c>
      <c r="K93" s="336"/>
      <c r="L93" s="336" t="s">
        <v>369</v>
      </c>
      <c r="M93" s="336" t="s">
        <v>704</v>
      </c>
      <c r="N93" s="336">
        <v>12782</v>
      </c>
      <c r="O93" s="336">
        <v>31965</v>
      </c>
      <c r="P93" s="336">
        <v>0</v>
      </c>
      <c r="Q93" s="336" t="s">
        <v>423</v>
      </c>
      <c r="R93" s="336">
        <v>1</v>
      </c>
      <c r="S93" s="336">
        <v>2</v>
      </c>
      <c r="T93" s="336" t="s">
        <v>736</v>
      </c>
      <c r="U93" s="336">
        <v>5000</v>
      </c>
      <c r="V93" s="336">
        <v>0</v>
      </c>
      <c r="W93" s="336">
        <v>2</v>
      </c>
      <c r="X93" s="336">
        <v>0</v>
      </c>
      <c r="Y93" s="336" t="s">
        <v>498</v>
      </c>
      <c r="Z93" s="336" t="str">
        <f t="shared" ref="Z93:Z154" si="6">IF(OR(Y93="Apartments, 5-12 units, inclusive", Y93="Apartments, 13-24 units, inclusive", Y93="Apartments, 25-59 units, inclusive", Y93="Apartments, 60 units or more"), "Apartments", IF(OR(Y93="Duplex", Y93="Triplex", Y93="Fourplex", Y93="Combinations; e.g., single and a double"),"Duplex, Triplex, Fourplex", "Vacant Multi Family"))</f>
        <v>Duplex, Triplex, Fourplex</v>
      </c>
      <c r="AA93" s="336" t="s">
        <v>300</v>
      </c>
      <c r="AB93" s="336" t="s">
        <v>301</v>
      </c>
      <c r="AC93" s="336" t="s">
        <v>351</v>
      </c>
      <c r="AD93" s="336" t="s">
        <v>678</v>
      </c>
      <c r="AE93" s="337">
        <v>-9999</v>
      </c>
      <c r="AF93" s="338">
        <v>10</v>
      </c>
      <c r="AG93" s="336">
        <v>10</v>
      </c>
      <c r="AH93" s="336">
        <v>6</v>
      </c>
      <c r="AI93" s="339">
        <v>4972.6826363500004</v>
      </c>
      <c r="AJ93" s="340">
        <f t="shared" si="4"/>
        <v>0.11415708531565658</v>
      </c>
      <c r="AK93" s="340" t="str">
        <f t="shared" si="5"/>
        <v>SLR Adjacent</v>
      </c>
      <c r="AM93" s="204"/>
    </row>
    <row r="94" spans="1:39">
      <c r="A94" s="336">
        <v>991</v>
      </c>
      <c r="B94" s="336" t="s">
        <v>737</v>
      </c>
      <c r="C94" s="336" t="s">
        <v>737</v>
      </c>
      <c r="D94" s="336" t="s">
        <v>738</v>
      </c>
      <c r="E94" s="336" t="s">
        <v>739</v>
      </c>
      <c r="F94" s="336"/>
      <c r="G94" s="337">
        <v>0</v>
      </c>
      <c r="H94" s="336" t="s">
        <v>740</v>
      </c>
      <c r="I94" s="336" t="s">
        <v>307</v>
      </c>
      <c r="J94" s="336" t="s">
        <v>741</v>
      </c>
      <c r="K94" s="336"/>
      <c r="L94" s="336" t="s">
        <v>369</v>
      </c>
      <c r="M94" s="336" t="s">
        <v>704</v>
      </c>
      <c r="N94" s="336">
        <v>405938</v>
      </c>
      <c r="O94" s="336">
        <v>139176</v>
      </c>
      <c r="P94" s="336">
        <v>0</v>
      </c>
      <c r="Q94" s="336" t="s">
        <v>423</v>
      </c>
      <c r="R94" s="336">
        <v>1</v>
      </c>
      <c r="S94" s="336">
        <v>3</v>
      </c>
      <c r="T94" s="336"/>
      <c r="U94" s="336">
        <v>10600</v>
      </c>
      <c r="V94" s="336">
        <v>0</v>
      </c>
      <c r="W94" s="336">
        <v>4</v>
      </c>
      <c r="X94" s="336">
        <v>0</v>
      </c>
      <c r="Y94" s="336" t="s">
        <v>498</v>
      </c>
      <c r="Z94" s="336" t="str">
        <f t="shared" si="6"/>
        <v>Duplex, Triplex, Fourplex</v>
      </c>
      <c r="AA94" s="336" t="s">
        <v>300</v>
      </c>
      <c r="AB94" s="336" t="s">
        <v>301</v>
      </c>
      <c r="AC94" s="336" t="s">
        <v>351</v>
      </c>
      <c r="AD94" s="336" t="s">
        <v>678</v>
      </c>
      <c r="AE94" s="337">
        <v>-9999</v>
      </c>
      <c r="AF94" s="338">
        <v>10</v>
      </c>
      <c r="AG94" s="336">
        <v>10</v>
      </c>
      <c r="AH94" s="336">
        <v>6</v>
      </c>
      <c r="AI94" s="339">
        <v>10677.9203333</v>
      </c>
      <c r="AJ94" s="340">
        <f t="shared" si="4"/>
        <v>0.24513132078282829</v>
      </c>
      <c r="AK94" s="340" t="str">
        <f t="shared" si="5"/>
        <v>SLR Adjacent</v>
      </c>
    </row>
    <row r="95" spans="1:39">
      <c r="A95" s="336">
        <v>2785</v>
      </c>
      <c r="B95" s="336" t="s">
        <v>742</v>
      </c>
      <c r="C95" s="336" t="s">
        <v>742</v>
      </c>
      <c r="D95" s="336" t="s">
        <v>743</v>
      </c>
      <c r="E95" s="336" t="s">
        <v>744</v>
      </c>
      <c r="F95" s="336"/>
      <c r="G95" s="337">
        <v>0</v>
      </c>
      <c r="H95" s="336" t="s">
        <v>745</v>
      </c>
      <c r="I95" s="336" t="s">
        <v>294</v>
      </c>
      <c r="J95" s="336" t="s">
        <v>746</v>
      </c>
      <c r="K95" s="336"/>
      <c r="L95" s="336" t="s">
        <v>369</v>
      </c>
      <c r="M95" s="336" t="s">
        <v>704</v>
      </c>
      <c r="N95" s="336">
        <v>27093</v>
      </c>
      <c r="O95" s="336">
        <v>38207</v>
      </c>
      <c r="P95" s="336">
        <v>0</v>
      </c>
      <c r="Q95" s="336" t="s">
        <v>298</v>
      </c>
      <c r="R95" s="336">
        <v>0</v>
      </c>
      <c r="S95" s="336">
        <v>3</v>
      </c>
      <c r="T95" s="336"/>
      <c r="U95" s="336">
        <v>0</v>
      </c>
      <c r="V95" s="336">
        <v>1</v>
      </c>
      <c r="W95" s="336">
        <v>2</v>
      </c>
      <c r="X95" s="336">
        <v>1440</v>
      </c>
      <c r="Y95" s="336" t="s">
        <v>498</v>
      </c>
      <c r="Z95" s="336" t="str">
        <f t="shared" si="6"/>
        <v>Duplex, Triplex, Fourplex</v>
      </c>
      <c r="AA95" s="336" t="s">
        <v>300</v>
      </c>
      <c r="AB95" s="336" t="s">
        <v>301</v>
      </c>
      <c r="AC95" s="336" t="s">
        <v>351</v>
      </c>
      <c r="AD95" s="336" t="s">
        <v>678</v>
      </c>
      <c r="AE95" s="337">
        <v>-9999</v>
      </c>
      <c r="AF95" s="338">
        <v>10</v>
      </c>
      <c r="AG95" s="336">
        <v>10</v>
      </c>
      <c r="AH95" s="336">
        <v>6</v>
      </c>
      <c r="AI95" s="339">
        <v>5028.9338905100003</v>
      </c>
      <c r="AJ95" s="340">
        <f t="shared" si="4"/>
        <v>0.11544843642125804</v>
      </c>
      <c r="AK95" s="340" t="str">
        <f t="shared" si="5"/>
        <v>SLR Adjacent</v>
      </c>
    </row>
    <row r="96" spans="1:39">
      <c r="A96" s="336">
        <v>963</v>
      </c>
      <c r="B96" s="336" t="s">
        <v>747</v>
      </c>
      <c r="C96" s="336" t="s">
        <v>747</v>
      </c>
      <c r="D96" s="336" t="s">
        <v>748</v>
      </c>
      <c r="E96" s="336" t="s">
        <v>749</v>
      </c>
      <c r="F96" s="336"/>
      <c r="G96" s="337">
        <v>0</v>
      </c>
      <c r="H96" s="336" t="s">
        <v>708</v>
      </c>
      <c r="I96" s="336" t="s">
        <v>307</v>
      </c>
      <c r="J96" s="336" t="s">
        <v>750</v>
      </c>
      <c r="K96" s="336"/>
      <c r="L96" s="336" t="s">
        <v>369</v>
      </c>
      <c r="M96" s="336" t="s">
        <v>704</v>
      </c>
      <c r="N96" s="336">
        <v>140000</v>
      </c>
      <c r="O96" s="336">
        <v>80000</v>
      </c>
      <c r="P96" s="336">
        <v>0</v>
      </c>
      <c r="Q96" s="336" t="s">
        <v>423</v>
      </c>
      <c r="R96" s="336">
        <v>1</v>
      </c>
      <c r="S96" s="336">
        <v>1</v>
      </c>
      <c r="T96" s="336" t="s">
        <v>751</v>
      </c>
      <c r="U96" s="336">
        <v>3800</v>
      </c>
      <c r="V96" s="336">
        <v>0</v>
      </c>
      <c r="W96" s="336">
        <v>2</v>
      </c>
      <c r="X96" s="336">
        <v>0</v>
      </c>
      <c r="Y96" s="336" t="s">
        <v>425</v>
      </c>
      <c r="Z96" s="336" t="str">
        <f t="shared" si="6"/>
        <v>Duplex, Triplex, Fourplex</v>
      </c>
      <c r="AA96" s="336" t="s">
        <v>300</v>
      </c>
      <c r="AB96" s="336" t="s">
        <v>301</v>
      </c>
      <c r="AC96" s="336" t="s">
        <v>351</v>
      </c>
      <c r="AD96" s="336" t="s">
        <v>678</v>
      </c>
      <c r="AE96" s="337">
        <v>-9999</v>
      </c>
      <c r="AF96" s="338">
        <v>10</v>
      </c>
      <c r="AG96" s="336">
        <v>10</v>
      </c>
      <c r="AH96" s="336">
        <v>6</v>
      </c>
      <c r="AI96" s="339">
        <v>3612.85086224</v>
      </c>
      <c r="AJ96" s="340">
        <f t="shared" si="4"/>
        <v>8.2939643302112023E-2</v>
      </c>
      <c r="AK96" s="340" t="str">
        <f t="shared" si="5"/>
        <v>SLR Adjacent</v>
      </c>
    </row>
    <row r="97" spans="1:37">
      <c r="A97" s="336">
        <v>978</v>
      </c>
      <c r="B97" s="336" t="s">
        <v>752</v>
      </c>
      <c r="C97" s="336" t="s">
        <v>752</v>
      </c>
      <c r="D97" s="336" t="s">
        <v>753</v>
      </c>
      <c r="E97" s="336" t="s">
        <v>754</v>
      </c>
      <c r="F97" s="336"/>
      <c r="G97" s="337">
        <v>0</v>
      </c>
      <c r="H97" s="336" t="s">
        <v>702</v>
      </c>
      <c r="I97" s="336" t="s">
        <v>294</v>
      </c>
      <c r="J97" s="336" t="s">
        <v>755</v>
      </c>
      <c r="K97" s="336"/>
      <c r="L97" s="336" t="s">
        <v>369</v>
      </c>
      <c r="M97" s="336" t="s">
        <v>704</v>
      </c>
      <c r="N97" s="336">
        <v>145500</v>
      </c>
      <c r="O97" s="336">
        <v>74500</v>
      </c>
      <c r="P97" s="336">
        <v>0</v>
      </c>
      <c r="Q97" s="336" t="s">
        <v>423</v>
      </c>
      <c r="R97" s="336">
        <v>1</v>
      </c>
      <c r="S97" s="336">
        <v>1</v>
      </c>
      <c r="T97" s="336" t="s">
        <v>756</v>
      </c>
      <c r="U97" s="336">
        <v>5000</v>
      </c>
      <c r="V97" s="336">
        <v>0</v>
      </c>
      <c r="W97" s="336">
        <v>2</v>
      </c>
      <c r="X97" s="336">
        <v>0</v>
      </c>
      <c r="Y97" s="336" t="s">
        <v>425</v>
      </c>
      <c r="Z97" s="336" t="str">
        <f t="shared" si="6"/>
        <v>Duplex, Triplex, Fourplex</v>
      </c>
      <c r="AA97" s="336" t="s">
        <v>300</v>
      </c>
      <c r="AB97" s="336" t="s">
        <v>301</v>
      </c>
      <c r="AC97" s="336" t="s">
        <v>351</v>
      </c>
      <c r="AD97" s="336" t="s">
        <v>678</v>
      </c>
      <c r="AE97" s="337">
        <v>-9999</v>
      </c>
      <c r="AF97" s="338">
        <v>10</v>
      </c>
      <c r="AG97" s="336">
        <v>10</v>
      </c>
      <c r="AH97" s="336">
        <v>6</v>
      </c>
      <c r="AI97" s="339">
        <v>5019.2165752299998</v>
      </c>
      <c r="AJ97" s="340">
        <f t="shared" si="4"/>
        <v>0.1152253575580808</v>
      </c>
      <c r="AK97" s="340" t="str">
        <f t="shared" si="5"/>
        <v>SLR Adjacent</v>
      </c>
    </row>
    <row r="98" spans="1:37">
      <c r="A98" s="336">
        <v>979</v>
      </c>
      <c r="B98" s="336" t="s">
        <v>757</v>
      </c>
      <c r="C98" s="336" t="s">
        <v>757</v>
      </c>
      <c r="D98" s="336" t="s">
        <v>758</v>
      </c>
      <c r="E98" s="336" t="s">
        <v>759</v>
      </c>
      <c r="F98" s="336"/>
      <c r="G98" s="337">
        <v>0</v>
      </c>
      <c r="H98" s="336" t="s">
        <v>760</v>
      </c>
      <c r="I98" s="336" t="s">
        <v>307</v>
      </c>
      <c r="J98" s="336" t="s">
        <v>761</v>
      </c>
      <c r="K98" s="336"/>
      <c r="L98" s="336" t="s">
        <v>369</v>
      </c>
      <c r="M98" s="336" t="s">
        <v>704</v>
      </c>
      <c r="N98" s="336">
        <v>107149</v>
      </c>
      <c r="O98" s="336">
        <v>63216</v>
      </c>
      <c r="P98" s="336">
        <v>0</v>
      </c>
      <c r="Q98" s="336" t="s">
        <v>423</v>
      </c>
      <c r="R98" s="336">
        <v>1</v>
      </c>
      <c r="S98" s="336">
        <v>1</v>
      </c>
      <c r="T98" s="336" t="s">
        <v>756</v>
      </c>
      <c r="U98" s="336">
        <v>5000</v>
      </c>
      <c r="V98" s="336">
        <v>0</v>
      </c>
      <c r="W98" s="336">
        <v>2</v>
      </c>
      <c r="X98" s="336">
        <v>0</v>
      </c>
      <c r="Y98" s="336" t="s">
        <v>425</v>
      </c>
      <c r="Z98" s="336" t="str">
        <f t="shared" si="6"/>
        <v>Duplex, Triplex, Fourplex</v>
      </c>
      <c r="AA98" s="336" t="s">
        <v>300</v>
      </c>
      <c r="AB98" s="336" t="s">
        <v>301</v>
      </c>
      <c r="AC98" s="336" t="s">
        <v>351</v>
      </c>
      <c r="AD98" s="336" t="s">
        <v>678</v>
      </c>
      <c r="AE98" s="337">
        <v>-9999</v>
      </c>
      <c r="AF98" s="338">
        <v>10</v>
      </c>
      <c r="AG98" s="336">
        <v>10</v>
      </c>
      <c r="AH98" s="336">
        <v>6</v>
      </c>
      <c r="AI98" s="339">
        <v>4867.4578095300003</v>
      </c>
      <c r="AJ98" s="340">
        <f t="shared" si="4"/>
        <v>0.11174145568250689</v>
      </c>
      <c r="AK98" s="340" t="str">
        <f t="shared" si="5"/>
        <v>SLR Adjacent</v>
      </c>
    </row>
    <row r="99" spans="1:37">
      <c r="A99" s="336">
        <v>981</v>
      </c>
      <c r="B99" s="336" t="s">
        <v>762</v>
      </c>
      <c r="C99" s="336" t="s">
        <v>762</v>
      </c>
      <c r="D99" s="336" t="s">
        <v>763</v>
      </c>
      <c r="E99" s="336" t="s">
        <v>764</v>
      </c>
      <c r="F99" s="336"/>
      <c r="G99" s="337">
        <v>0</v>
      </c>
      <c r="H99" s="336" t="s">
        <v>702</v>
      </c>
      <c r="I99" s="336" t="s">
        <v>294</v>
      </c>
      <c r="J99" s="336" t="s">
        <v>765</v>
      </c>
      <c r="K99" s="336"/>
      <c r="L99" s="336" t="s">
        <v>369</v>
      </c>
      <c r="M99" s="336" t="s">
        <v>704</v>
      </c>
      <c r="N99" s="336">
        <v>31513</v>
      </c>
      <c r="O99" s="336">
        <v>115553</v>
      </c>
      <c r="P99" s="336">
        <v>0</v>
      </c>
      <c r="Q99" s="336" t="s">
        <v>423</v>
      </c>
      <c r="R99" s="336">
        <v>1</v>
      </c>
      <c r="S99" s="336">
        <v>1</v>
      </c>
      <c r="T99" s="336" t="s">
        <v>766</v>
      </c>
      <c r="U99" s="336">
        <v>5000</v>
      </c>
      <c r="V99" s="336">
        <v>0</v>
      </c>
      <c r="W99" s="336">
        <v>2</v>
      </c>
      <c r="X99" s="336">
        <v>0</v>
      </c>
      <c r="Y99" s="336" t="s">
        <v>425</v>
      </c>
      <c r="Z99" s="336" t="str">
        <f t="shared" si="6"/>
        <v>Duplex, Triplex, Fourplex</v>
      </c>
      <c r="AA99" s="336" t="s">
        <v>300</v>
      </c>
      <c r="AB99" s="336" t="s">
        <v>301</v>
      </c>
      <c r="AC99" s="336" t="s">
        <v>351</v>
      </c>
      <c r="AD99" s="336" t="s">
        <v>678</v>
      </c>
      <c r="AE99" s="337">
        <v>-9999</v>
      </c>
      <c r="AF99" s="338">
        <v>10</v>
      </c>
      <c r="AG99" s="336">
        <v>10</v>
      </c>
      <c r="AH99" s="336">
        <v>6</v>
      </c>
      <c r="AI99" s="339">
        <v>5075.7976917799997</v>
      </c>
      <c r="AJ99" s="340">
        <f t="shared" si="4"/>
        <v>0.11652428126216711</v>
      </c>
      <c r="AK99" s="340" t="str">
        <f t="shared" si="5"/>
        <v>SLR Adjacent</v>
      </c>
    </row>
    <row r="100" spans="1:37">
      <c r="A100" s="336">
        <v>986</v>
      </c>
      <c r="B100" s="336" t="s">
        <v>767</v>
      </c>
      <c r="C100" s="336" t="s">
        <v>767</v>
      </c>
      <c r="D100" s="336" t="s">
        <v>768</v>
      </c>
      <c r="E100" s="336" t="s">
        <v>769</v>
      </c>
      <c r="F100" s="336"/>
      <c r="G100" s="337">
        <v>0</v>
      </c>
      <c r="H100" s="336" t="s">
        <v>612</v>
      </c>
      <c r="I100" s="336" t="s">
        <v>307</v>
      </c>
      <c r="J100" s="336" t="s">
        <v>770</v>
      </c>
      <c r="K100" s="336"/>
      <c r="L100" s="336" t="s">
        <v>369</v>
      </c>
      <c r="M100" s="336" t="s">
        <v>704</v>
      </c>
      <c r="N100" s="336">
        <v>3825</v>
      </c>
      <c r="O100" s="336">
        <v>30734</v>
      </c>
      <c r="P100" s="336">
        <v>0</v>
      </c>
      <c r="Q100" s="336" t="s">
        <v>423</v>
      </c>
      <c r="R100" s="336">
        <v>1</v>
      </c>
      <c r="S100" s="336">
        <v>1</v>
      </c>
      <c r="T100" s="336" t="s">
        <v>771</v>
      </c>
      <c r="U100" s="336">
        <v>5000</v>
      </c>
      <c r="V100" s="336">
        <v>0</v>
      </c>
      <c r="W100" s="336">
        <v>2</v>
      </c>
      <c r="X100" s="336">
        <v>0</v>
      </c>
      <c r="Y100" s="336" t="s">
        <v>425</v>
      </c>
      <c r="Z100" s="336" t="str">
        <f t="shared" si="6"/>
        <v>Duplex, Triplex, Fourplex</v>
      </c>
      <c r="AA100" s="336" t="s">
        <v>300</v>
      </c>
      <c r="AB100" s="336" t="s">
        <v>301</v>
      </c>
      <c r="AC100" s="336" t="s">
        <v>351</v>
      </c>
      <c r="AD100" s="336" t="s">
        <v>678</v>
      </c>
      <c r="AE100" s="337">
        <v>-9999</v>
      </c>
      <c r="AF100" s="338">
        <v>10</v>
      </c>
      <c r="AG100" s="336">
        <v>10</v>
      </c>
      <c r="AH100" s="336">
        <v>6</v>
      </c>
      <c r="AI100" s="339">
        <v>4972.1677442700002</v>
      </c>
      <c r="AJ100" s="340">
        <f t="shared" si="4"/>
        <v>0.11414526501997245</v>
      </c>
      <c r="AK100" s="340" t="str">
        <f t="shared" si="5"/>
        <v>SLR Adjacent</v>
      </c>
    </row>
    <row r="101" spans="1:37">
      <c r="A101" s="336">
        <v>987</v>
      </c>
      <c r="B101" s="336" t="s">
        <v>772</v>
      </c>
      <c r="C101" s="336" t="s">
        <v>772</v>
      </c>
      <c r="D101" s="336" t="s">
        <v>773</v>
      </c>
      <c r="E101" s="336" t="s">
        <v>774</v>
      </c>
      <c r="F101" s="336"/>
      <c r="G101" s="337">
        <v>0</v>
      </c>
      <c r="H101" s="336" t="s">
        <v>775</v>
      </c>
      <c r="I101" s="336" t="s">
        <v>294</v>
      </c>
      <c r="J101" s="336" t="s">
        <v>776</v>
      </c>
      <c r="K101" s="336"/>
      <c r="L101" s="336" t="s">
        <v>369</v>
      </c>
      <c r="M101" s="336" t="s">
        <v>704</v>
      </c>
      <c r="N101" s="336">
        <v>20902</v>
      </c>
      <c r="O101" s="336">
        <v>121233</v>
      </c>
      <c r="P101" s="336">
        <v>0</v>
      </c>
      <c r="Q101" s="336" t="s">
        <v>423</v>
      </c>
      <c r="R101" s="336">
        <v>1</v>
      </c>
      <c r="S101" s="336">
        <v>1</v>
      </c>
      <c r="T101" s="336" t="s">
        <v>469</v>
      </c>
      <c r="U101" s="336">
        <v>5000</v>
      </c>
      <c r="V101" s="336">
        <v>0</v>
      </c>
      <c r="W101" s="336">
        <v>2</v>
      </c>
      <c r="X101" s="336">
        <v>0</v>
      </c>
      <c r="Y101" s="336" t="s">
        <v>425</v>
      </c>
      <c r="Z101" s="336" t="str">
        <f t="shared" si="6"/>
        <v>Duplex, Triplex, Fourplex</v>
      </c>
      <c r="AA101" s="336" t="s">
        <v>300</v>
      </c>
      <c r="AB101" s="336" t="s">
        <v>301</v>
      </c>
      <c r="AC101" s="336" t="s">
        <v>351</v>
      </c>
      <c r="AD101" s="336" t="s">
        <v>678</v>
      </c>
      <c r="AE101" s="337">
        <v>-9999</v>
      </c>
      <c r="AF101" s="338">
        <v>10</v>
      </c>
      <c r="AG101" s="336">
        <v>10</v>
      </c>
      <c r="AH101" s="336">
        <v>6</v>
      </c>
      <c r="AI101" s="339">
        <v>4990.7237370000003</v>
      </c>
      <c r="AJ101" s="340">
        <f t="shared" si="4"/>
        <v>0.11457125199724519</v>
      </c>
      <c r="AK101" s="340" t="str">
        <f t="shared" si="5"/>
        <v>SLR Adjacent</v>
      </c>
    </row>
    <row r="102" spans="1:37">
      <c r="A102" s="336">
        <v>988</v>
      </c>
      <c r="B102" s="336" t="s">
        <v>777</v>
      </c>
      <c r="C102" s="336" t="s">
        <v>777</v>
      </c>
      <c r="D102" s="336" t="s">
        <v>778</v>
      </c>
      <c r="E102" s="336" t="s">
        <v>779</v>
      </c>
      <c r="F102" s="336"/>
      <c r="G102" s="337">
        <v>0</v>
      </c>
      <c r="H102" s="336" t="s">
        <v>745</v>
      </c>
      <c r="I102" s="336" t="s">
        <v>294</v>
      </c>
      <c r="J102" s="336" t="s">
        <v>780</v>
      </c>
      <c r="K102" s="336"/>
      <c r="L102" s="336" t="s">
        <v>369</v>
      </c>
      <c r="M102" s="336" t="s">
        <v>704</v>
      </c>
      <c r="N102" s="336">
        <v>4608</v>
      </c>
      <c r="O102" s="336">
        <v>23126</v>
      </c>
      <c r="P102" s="336">
        <v>0</v>
      </c>
      <c r="Q102" s="336" t="s">
        <v>423</v>
      </c>
      <c r="R102" s="336">
        <v>1</v>
      </c>
      <c r="S102" s="336">
        <v>1</v>
      </c>
      <c r="T102" s="336" t="s">
        <v>458</v>
      </c>
      <c r="U102" s="336">
        <v>5000</v>
      </c>
      <c r="V102" s="336">
        <v>0</v>
      </c>
      <c r="W102" s="336">
        <v>2</v>
      </c>
      <c r="X102" s="336">
        <v>0</v>
      </c>
      <c r="Y102" s="336" t="s">
        <v>425</v>
      </c>
      <c r="Z102" s="336" t="str">
        <f t="shared" si="6"/>
        <v>Duplex, Triplex, Fourplex</v>
      </c>
      <c r="AA102" s="336" t="s">
        <v>300</v>
      </c>
      <c r="AB102" s="336" t="s">
        <v>301</v>
      </c>
      <c r="AC102" s="336" t="s">
        <v>351</v>
      </c>
      <c r="AD102" s="336" t="s">
        <v>678</v>
      </c>
      <c r="AE102" s="337">
        <v>-9999</v>
      </c>
      <c r="AF102" s="338">
        <v>10</v>
      </c>
      <c r="AG102" s="336">
        <v>10</v>
      </c>
      <c r="AH102" s="336">
        <v>6</v>
      </c>
      <c r="AI102" s="339">
        <v>5022.6502142700001</v>
      </c>
      <c r="AJ102" s="340">
        <f t="shared" si="4"/>
        <v>0.11530418306404959</v>
      </c>
      <c r="AK102" s="340" t="str">
        <f t="shared" si="5"/>
        <v>SLR Adjacent</v>
      </c>
    </row>
    <row r="103" spans="1:37">
      <c r="A103" s="336">
        <v>990</v>
      </c>
      <c r="B103" s="336" t="s">
        <v>781</v>
      </c>
      <c r="C103" s="336" t="s">
        <v>781</v>
      </c>
      <c r="D103" s="336" t="s">
        <v>782</v>
      </c>
      <c r="E103" s="336" t="s">
        <v>783</v>
      </c>
      <c r="F103" s="336"/>
      <c r="G103" s="337">
        <v>0</v>
      </c>
      <c r="H103" s="336" t="s">
        <v>784</v>
      </c>
      <c r="I103" s="336" t="s">
        <v>294</v>
      </c>
      <c r="J103" s="336" t="s">
        <v>785</v>
      </c>
      <c r="K103" s="336"/>
      <c r="L103" s="336" t="s">
        <v>369</v>
      </c>
      <c r="M103" s="336" t="s">
        <v>704</v>
      </c>
      <c r="N103" s="336">
        <v>5250</v>
      </c>
      <c r="O103" s="336">
        <v>42018</v>
      </c>
      <c r="P103" s="336">
        <v>0</v>
      </c>
      <c r="Q103" s="336" t="s">
        <v>423</v>
      </c>
      <c r="R103" s="336">
        <v>1</v>
      </c>
      <c r="S103" s="336">
        <v>1</v>
      </c>
      <c r="T103" s="336" t="s">
        <v>786</v>
      </c>
      <c r="U103" s="336">
        <v>4900</v>
      </c>
      <c r="V103" s="336">
        <v>0</v>
      </c>
      <c r="W103" s="336">
        <v>2</v>
      </c>
      <c r="X103" s="336">
        <v>0</v>
      </c>
      <c r="Y103" s="336" t="s">
        <v>425</v>
      </c>
      <c r="Z103" s="336" t="str">
        <f t="shared" si="6"/>
        <v>Duplex, Triplex, Fourplex</v>
      </c>
      <c r="AA103" s="336" t="s">
        <v>300</v>
      </c>
      <c r="AB103" s="336" t="s">
        <v>301</v>
      </c>
      <c r="AC103" s="336" t="s">
        <v>351</v>
      </c>
      <c r="AD103" s="336" t="s">
        <v>678</v>
      </c>
      <c r="AE103" s="337">
        <v>-9999</v>
      </c>
      <c r="AF103" s="338">
        <v>10</v>
      </c>
      <c r="AG103" s="336">
        <v>10</v>
      </c>
      <c r="AH103" s="336">
        <v>6</v>
      </c>
      <c r="AI103" s="339">
        <v>4946.6766222599999</v>
      </c>
      <c r="AJ103" s="340">
        <f t="shared" si="4"/>
        <v>0.1135600693815427</v>
      </c>
      <c r="AK103" s="340" t="str">
        <f t="shared" si="5"/>
        <v>SLR Adjacent</v>
      </c>
    </row>
    <row r="104" spans="1:37">
      <c r="A104" s="336">
        <v>992</v>
      </c>
      <c r="B104" s="336" t="s">
        <v>787</v>
      </c>
      <c r="C104" s="336" t="s">
        <v>787</v>
      </c>
      <c r="D104" s="336" t="s">
        <v>768</v>
      </c>
      <c r="E104" s="336" t="s">
        <v>788</v>
      </c>
      <c r="F104" s="336"/>
      <c r="G104" s="337">
        <v>0</v>
      </c>
      <c r="H104" s="336" t="s">
        <v>789</v>
      </c>
      <c r="I104" s="336" t="s">
        <v>294</v>
      </c>
      <c r="J104" s="336" t="s">
        <v>780</v>
      </c>
      <c r="K104" s="336"/>
      <c r="L104" s="336" t="s">
        <v>369</v>
      </c>
      <c r="M104" s="336" t="s">
        <v>704</v>
      </c>
      <c r="N104" s="336">
        <v>3228</v>
      </c>
      <c r="O104" s="336">
        <v>29382</v>
      </c>
      <c r="P104" s="336">
        <v>0</v>
      </c>
      <c r="Q104" s="336" t="s">
        <v>423</v>
      </c>
      <c r="R104" s="336">
        <v>1</v>
      </c>
      <c r="S104" s="336">
        <v>1</v>
      </c>
      <c r="T104" s="336" t="s">
        <v>771</v>
      </c>
      <c r="U104" s="336">
        <v>5000</v>
      </c>
      <c r="V104" s="336">
        <v>0</v>
      </c>
      <c r="W104" s="336">
        <v>2</v>
      </c>
      <c r="X104" s="336">
        <v>0</v>
      </c>
      <c r="Y104" s="336" t="s">
        <v>425</v>
      </c>
      <c r="Z104" s="336" t="str">
        <f t="shared" si="6"/>
        <v>Duplex, Triplex, Fourplex</v>
      </c>
      <c r="AA104" s="336" t="s">
        <v>300</v>
      </c>
      <c r="AB104" s="336" t="s">
        <v>301</v>
      </c>
      <c r="AC104" s="336" t="s">
        <v>351</v>
      </c>
      <c r="AD104" s="336" t="s">
        <v>678</v>
      </c>
      <c r="AE104" s="337">
        <v>-9999</v>
      </c>
      <c r="AF104" s="338">
        <v>10</v>
      </c>
      <c r="AG104" s="336">
        <v>10</v>
      </c>
      <c r="AH104" s="336">
        <v>6</v>
      </c>
      <c r="AI104" s="339">
        <v>4944.9498942099999</v>
      </c>
      <c r="AJ104" s="340">
        <f t="shared" si="4"/>
        <v>0.11352042916000918</v>
      </c>
      <c r="AK104" s="340" t="str">
        <f t="shared" si="5"/>
        <v>SLR Adjacent</v>
      </c>
    </row>
    <row r="105" spans="1:37">
      <c r="A105" s="336">
        <v>993</v>
      </c>
      <c r="B105" s="336" t="s">
        <v>790</v>
      </c>
      <c r="C105" s="336" t="s">
        <v>790</v>
      </c>
      <c r="D105" s="336" t="s">
        <v>791</v>
      </c>
      <c r="E105" s="336" t="s">
        <v>792</v>
      </c>
      <c r="F105" s="336"/>
      <c r="G105" s="337">
        <v>0</v>
      </c>
      <c r="H105" s="336" t="s">
        <v>775</v>
      </c>
      <c r="I105" s="336" t="s">
        <v>294</v>
      </c>
      <c r="J105" s="336" t="s">
        <v>793</v>
      </c>
      <c r="K105" s="336"/>
      <c r="L105" s="336" t="s">
        <v>369</v>
      </c>
      <c r="M105" s="336" t="s">
        <v>704</v>
      </c>
      <c r="N105" s="336">
        <v>15793</v>
      </c>
      <c r="O105" s="336">
        <v>63178</v>
      </c>
      <c r="P105" s="336">
        <v>0</v>
      </c>
      <c r="Q105" s="336" t="s">
        <v>423</v>
      </c>
      <c r="R105" s="336">
        <v>1</v>
      </c>
      <c r="S105" s="336">
        <v>1</v>
      </c>
      <c r="T105" s="336" t="s">
        <v>437</v>
      </c>
      <c r="U105" s="336">
        <v>5000</v>
      </c>
      <c r="V105" s="336">
        <v>0</v>
      </c>
      <c r="W105" s="336">
        <v>2</v>
      </c>
      <c r="X105" s="336">
        <v>0</v>
      </c>
      <c r="Y105" s="336" t="s">
        <v>425</v>
      </c>
      <c r="Z105" s="336" t="str">
        <f t="shared" si="6"/>
        <v>Duplex, Triplex, Fourplex</v>
      </c>
      <c r="AA105" s="336" t="s">
        <v>300</v>
      </c>
      <c r="AB105" s="336" t="s">
        <v>301</v>
      </c>
      <c r="AC105" s="336" t="s">
        <v>351</v>
      </c>
      <c r="AD105" s="336" t="s">
        <v>678</v>
      </c>
      <c r="AE105" s="337">
        <v>-9999</v>
      </c>
      <c r="AF105" s="338">
        <v>10</v>
      </c>
      <c r="AG105" s="336">
        <v>10</v>
      </c>
      <c r="AH105" s="336">
        <v>6</v>
      </c>
      <c r="AI105" s="339">
        <v>5020.6297845400004</v>
      </c>
      <c r="AJ105" s="340">
        <f t="shared" si="4"/>
        <v>0.11525780037970616</v>
      </c>
      <c r="AK105" s="340" t="str">
        <f t="shared" si="5"/>
        <v>SLR Adjacent</v>
      </c>
    </row>
    <row r="106" spans="1:37">
      <c r="A106" s="336">
        <v>994</v>
      </c>
      <c r="B106" s="336" t="s">
        <v>794</v>
      </c>
      <c r="C106" s="336" t="s">
        <v>794</v>
      </c>
      <c r="D106" s="336" t="s">
        <v>795</v>
      </c>
      <c r="E106" s="336" t="s">
        <v>796</v>
      </c>
      <c r="F106" s="336"/>
      <c r="G106" s="337">
        <v>0</v>
      </c>
      <c r="H106" s="336" t="s">
        <v>789</v>
      </c>
      <c r="I106" s="336" t="s">
        <v>294</v>
      </c>
      <c r="J106" s="336" t="s">
        <v>797</v>
      </c>
      <c r="K106" s="336"/>
      <c r="L106" s="336" t="s">
        <v>369</v>
      </c>
      <c r="M106" s="336" t="s">
        <v>704</v>
      </c>
      <c r="N106" s="336">
        <v>11951</v>
      </c>
      <c r="O106" s="336">
        <v>147469</v>
      </c>
      <c r="P106" s="336">
        <v>0</v>
      </c>
      <c r="Q106" s="336" t="s">
        <v>423</v>
      </c>
      <c r="R106" s="336">
        <v>1</v>
      </c>
      <c r="S106" s="336">
        <v>1</v>
      </c>
      <c r="T106" s="336" t="s">
        <v>798</v>
      </c>
      <c r="U106" s="336">
        <v>5000</v>
      </c>
      <c r="V106" s="336">
        <v>0</v>
      </c>
      <c r="W106" s="336">
        <v>2</v>
      </c>
      <c r="X106" s="336">
        <v>0</v>
      </c>
      <c r="Y106" s="336" t="s">
        <v>425</v>
      </c>
      <c r="Z106" s="336" t="str">
        <f t="shared" si="6"/>
        <v>Duplex, Triplex, Fourplex</v>
      </c>
      <c r="AA106" s="336" t="s">
        <v>300</v>
      </c>
      <c r="AB106" s="336" t="s">
        <v>301</v>
      </c>
      <c r="AC106" s="336" t="s">
        <v>351</v>
      </c>
      <c r="AD106" s="336" t="s">
        <v>678</v>
      </c>
      <c r="AE106" s="337">
        <v>-9999</v>
      </c>
      <c r="AF106" s="338">
        <v>10</v>
      </c>
      <c r="AG106" s="336">
        <v>10</v>
      </c>
      <c r="AH106" s="336">
        <v>6</v>
      </c>
      <c r="AI106" s="339">
        <v>4986.9545325400004</v>
      </c>
      <c r="AJ106" s="340">
        <f t="shared" si="4"/>
        <v>0.11448472296923784</v>
      </c>
      <c r="AK106" s="340" t="str">
        <f t="shared" si="5"/>
        <v>SLR Adjacent</v>
      </c>
    </row>
    <row r="107" spans="1:37">
      <c r="A107" s="336">
        <v>997</v>
      </c>
      <c r="B107" s="336" t="s">
        <v>799</v>
      </c>
      <c r="C107" s="336" t="s">
        <v>799</v>
      </c>
      <c r="D107" s="336" t="s">
        <v>800</v>
      </c>
      <c r="E107" s="336" t="s">
        <v>801</v>
      </c>
      <c r="F107" s="336"/>
      <c r="G107" s="337">
        <v>0</v>
      </c>
      <c r="H107" s="336" t="s">
        <v>644</v>
      </c>
      <c r="I107" s="336" t="s">
        <v>307</v>
      </c>
      <c r="J107" s="336"/>
      <c r="K107" s="336"/>
      <c r="L107" s="336" t="s">
        <v>369</v>
      </c>
      <c r="M107" s="336" t="s">
        <v>704</v>
      </c>
      <c r="N107" s="336">
        <v>5527</v>
      </c>
      <c r="O107" s="336">
        <v>25897</v>
      </c>
      <c r="P107" s="336">
        <v>0</v>
      </c>
      <c r="Q107" s="336" t="s">
        <v>423</v>
      </c>
      <c r="R107" s="336">
        <v>1</v>
      </c>
      <c r="S107" s="336">
        <v>1</v>
      </c>
      <c r="T107" s="336" t="s">
        <v>802</v>
      </c>
      <c r="U107" s="336">
        <v>5000</v>
      </c>
      <c r="V107" s="336">
        <v>0</v>
      </c>
      <c r="W107" s="336">
        <v>2</v>
      </c>
      <c r="X107" s="336">
        <v>0</v>
      </c>
      <c r="Y107" s="336" t="s">
        <v>425</v>
      </c>
      <c r="Z107" s="336" t="str">
        <f t="shared" si="6"/>
        <v>Duplex, Triplex, Fourplex</v>
      </c>
      <c r="AA107" s="336" t="s">
        <v>300</v>
      </c>
      <c r="AB107" s="336" t="s">
        <v>301</v>
      </c>
      <c r="AC107" s="336" t="s">
        <v>351</v>
      </c>
      <c r="AD107" s="336" t="s">
        <v>678</v>
      </c>
      <c r="AE107" s="337">
        <v>-9999</v>
      </c>
      <c r="AF107" s="338">
        <v>10</v>
      </c>
      <c r="AG107" s="336">
        <v>10</v>
      </c>
      <c r="AH107" s="336">
        <v>6</v>
      </c>
      <c r="AI107" s="339">
        <v>5010.72463444</v>
      </c>
      <c r="AJ107" s="340">
        <f t="shared" si="4"/>
        <v>0.11503040942240587</v>
      </c>
      <c r="AK107" s="340" t="str">
        <f t="shared" si="5"/>
        <v>SLR Adjacent</v>
      </c>
    </row>
    <row r="108" spans="1:37">
      <c r="A108" s="336">
        <v>1009</v>
      </c>
      <c r="B108" s="336" t="s">
        <v>803</v>
      </c>
      <c r="C108" s="336" t="s">
        <v>803</v>
      </c>
      <c r="D108" s="336" t="s">
        <v>804</v>
      </c>
      <c r="E108" s="336" t="s">
        <v>805</v>
      </c>
      <c r="F108" s="336"/>
      <c r="G108" s="337">
        <v>0</v>
      </c>
      <c r="H108" s="336" t="s">
        <v>806</v>
      </c>
      <c r="I108" s="336" t="s">
        <v>294</v>
      </c>
      <c r="J108" s="336" t="s">
        <v>807</v>
      </c>
      <c r="K108" s="336"/>
      <c r="L108" s="336" t="s">
        <v>369</v>
      </c>
      <c r="M108" s="336" t="s">
        <v>370</v>
      </c>
      <c r="N108" s="336">
        <v>150681</v>
      </c>
      <c r="O108" s="336">
        <v>134507</v>
      </c>
      <c r="P108" s="336">
        <v>0</v>
      </c>
      <c r="Q108" s="336" t="s">
        <v>423</v>
      </c>
      <c r="R108" s="336">
        <v>1</v>
      </c>
      <c r="S108" s="336">
        <v>1</v>
      </c>
      <c r="T108" s="336" t="s">
        <v>808</v>
      </c>
      <c r="U108" s="336">
        <v>6000</v>
      </c>
      <c r="V108" s="336">
        <v>0</v>
      </c>
      <c r="W108" s="336">
        <v>2</v>
      </c>
      <c r="X108" s="336">
        <v>0</v>
      </c>
      <c r="Y108" s="336" t="s">
        <v>425</v>
      </c>
      <c r="Z108" s="336" t="str">
        <f t="shared" si="6"/>
        <v>Duplex, Triplex, Fourplex</v>
      </c>
      <c r="AA108" s="336" t="s">
        <v>300</v>
      </c>
      <c r="AB108" s="336" t="s">
        <v>301</v>
      </c>
      <c r="AC108" s="336" t="s">
        <v>351</v>
      </c>
      <c r="AD108" s="336" t="s">
        <v>678</v>
      </c>
      <c r="AE108" s="337">
        <v>-9999</v>
      </c>
      <c r="AF108" s="338">
        <v>10</v>
      </c>
      <c r="AG108" s="336">
        <v>10</v>
      </c>
      <c r="AH108" s="336">
        <v>6</v>
      </c>
      <c r="AI108" s="339">
        <v>6074.0088857800001</v>
      </c>
      <c r="AJ108" s="340">
        <f t="shared" si="4"/>
        <v>0.13944005706565657</v>
      </c>
      <c r="AK108" s="340" t="str">
        <f t="shared" si="5"/>
        <v>SLR Adjacent</v>
      </c>
    </row>
    <row r="109" spans="1:37">
      <c r="A109" s="336">
        <v>1010</v>
      </c>
      <c r="B109" s="336" t="s">
        <v>809</v>
      </c>
      <c r="C109" s="336" t="s">
        <v>809</v>
      </c>
      <c r="D109" s="336" t="s">
        <v>810</v>
      </c>
      <c r="E109" s="336" t="s">
        <v>811</v>
      </c>
      <c r="F109" s="336"/>
      <c r="G109" s="337">
        <v>0</v>
      </c>
      <c r="H109" s="336" t="s">
        <v>812</v>
      </c>
      <c r="I109" s="336" t="s">
        <v>294</v>
      </c>
      <c r="J109" s="336" t="s">
        <v>807</v>
      </c>
      <c r="K109" s="336"/>
      <c r="L109" s="336" t="s">
        <v>369</v>
      </c>
      <c r="M109" s="336" t="s">
        <v>370</v>
      </c>
      <c r="N109" s="336">
        <v>69191</v>
      </c>
      <c r="O109" s="336">
        <v>71626</v>
      </c>
      <c r="P109" s="336">
        <v>0</v>
      </c>
      <c r="Q109" s="336" t="s">
        <v>423</v>
      </c>
      <c r="R109" s="336">
        <v>1</v>
      </c>
      <c r="S109" s="336">
        <v>1</v>
      </c>
      <c r="T109" s="336" t="s">
        <v>813</v>
      </c>
      <c r="U109" s="336">
        <v>3900</v>
      </c>
      <c r="V109" s="336">
        <v>0</v>
      </c>
      <c r="W109" s="336">
        <v>2</v>
      </c>
      <c r="X109" s="336">
        <v>0</v>
      </c>
      <c r="Y109" s="336" t="s">
        <v>425</v>
      </c>
      <c r="Z109" s="336" t="str">
        <f t="shared" si="6"/>
        <v>Duplex, Triplex, Fourplex</v>
      </c>
      <c r="AA109" s="336" t="s">
        <v>300</v>
      </c>
      <c r="AB109" s="336" t="s">
        <v>301</v>
      </c>
      <c r="AC109" s="336" t="s">
        <v>351</v>
      </c>
      <c r="AD109" s="336" t="s">
        <v>678</v>
      </c>
      <c r="AE109" s="337">
        <v>-9999</v>
      </c>
      <c r="AF109" s="338">
        <v>10</v>
      </c>
      <c r="AG109" s="336">
        <v>10</v>
      </c>
      <c r="AH109" s="336">
        <v>6</v>
      </c>
      <c r="AI109" s="339">
        <v>3925.5388804899999</v>
      </c>
      <c r="AJ109" s="340">
        <f t="shared" si="4"/>
        <v>9.0117972463039486E-2</v>
      </c>
      <c r="AK109" s="340" t="str">
        <f t="shared" si="5"/>
        <v>SLR Adjacent</v>
      </c>
    </row>
    <row r="110" spans="1:37">
      <c r="A110" s="336">
        <v>1011</v>
      </c>
      <c r="B110" s="336" t="s">
        <v>814</v>
      </c>
      <c r="C110" s="336" t="s">
        <v>814</v>
      </c>
      <c r="D110" s="336" t="s">
        <v>815</v>
      </c>
      <c r="E110" s="336" t="s">
        <v>816</v>
      </c>
      <c r="F110" s="336"/>
      <c r="G110" s="337">
        <v>0</v>
      </c>
      <c r="H110" s="336" t="s">
        <v>806</v>
      </c>
      <c r="I110" s="336" t="s">
        <v>294</v>
      </c>
      <c r="J110" s="336" t="s">
        <v>817</v>
      </c>
      <c r="K110" s="336"/>
      <c r="L110" s="336" t="s">
        <v>369</v>
      </c>
      <c r="M110" s="336" t="s">
        <v>370</v>
      </c>
      <c r="N110" s="336">
        <v>159855</v>
      </c>
      <c r="O110" s="336">
        <v>66493</v>
      </c>
      <c r="P110" s="336">
        <v>0</v>
      </c>
      <c r="Q110" s="336" t="s">
        <v>423</v>
      </c>
      <c r="R110" s="336">
        <v>1</v>
      </c>
      <c r="S110" s="336">
        <v>1</v>
      </c>
      <c r="T110" s="336" t="s">
        <v>818</v>
      </c>
      <c r="U110" s="336">
        <v>4000</v>
      </c>
      <c r="V110" s="336">
        <v>0</v>
      </c>
      <c r="W110" s="336">
        <v>2</v>
      </c>
      <c r="X110" s="336">
        <v>0</v>
      </c>
      <c r="Y110" s="336" t="s">
        <v>425</v>
      </c>
      <c r="Z110" s="336" t="str">
        <f t="shared" si="6"/>
        <v>Duplex, Triplex, Fourplex</v>
      </c>
      <c r="AA110" s="336" t="s">
        <v>300</v>
      </c>
      <c r="AB110" s="336" t="s">
        <v>301</v>
      </c>
      <c r="AC110" s="336" t="s">
        <v>351</v>
      </c>
      <c r="AD110" s="336" t="s">
        <v>678</v>
      </c>
      <c r="AE110" s="337">
        <v>-9999</v>
      </c>
      <c r="AF110" s="338">
        <v>10</v>
      </c>
      <c r="AG110" s="336">
        <v>10</v>
      </c>
      <c r="AH110" s="336">
        <v>6</v>
      </c>
      <c r="AI110" s="339">
        <v>3919.7161778200002</v>
      </c>
      <c r="AJ110" s="340">
        <f t="shared" si="4"/>
        <v>8.998430160284665E-2</v>
      </c>
      <c r="AK110" s="340" t="str">
        <f t="shared" si="5"/>
        <v>SLR Adjacent</v>
      </c>
    </row>
    <row r="111" spans="1:37">
      <c r="A111" s="336">
        <v>1012</v>
      </c>
      <c r="B111" s="336" t="s">
        <v>819</v>
      </c>
      <c r="C111" s="336" t="s">
        <v>819</v>
      </c>
      <c r="D111" s="336" t="s">
        <v>820</v>
      </c>
      <c r="E111" s="336" t="s">
        <v>821</v>
      </c>
      <c r="F111" s="336"/>
      <c r="G111" s="337">
        <v>0</v>
      </c>
      <c r="H111" s="336" t="s">
        <v>806</v>
      </c>
      <c r="I111" s="336" t="s">
        <v>294</v>
      </c>
      <c r="J111" s="336" t="s">
        <v>822</v>
      </c>
      <c r="K111" s="336"/>
      <c r="L111" s="336" t="s">
        <v>369</v>
      </c>
      <c r="M111" s="336" t="s">
        <v>370</v>
      </c>
      <c r="N111" s="336">
        <v>142800</v>
      </c>
      <c r="O111" s="336">
        <v>127200</v>
      </c>
      <c r="P111" s="336">
        <v>0</v>
      </c>
      <c r="Q111" s="336" t="s">
        <v>423</v>
      </c>
      <c r="R111" s="336">
        <v>1</v>
      </c>
      <c r="S111" s="336">
        <v>1</v>
      </c>
      <c r="T111" s="336" t="s">
        <v>818</v>
      </c>
      <c r="U111" s="336">
        <v>5000</v>
      </c>
      <c r="V111" s="336">
        <v>0</v>
      </c>
      <c r="W111" s="336">
        <v>2</v>
      </c>
      <c r="X111" s="336">
        <v>0</v>
      </c>
      <c r="Y111" s="336" t="s">
        <v>425</v>
      </c>
      <c r="Z111" s="336" t="str">
        <f t="shared" si="6"/>
        <v>Duplex, Triplex, Fourplex</v>
      </c>
      <c r="AA111" s="336" t="s">
        <v>300</v>
      </c>
      <c r="AB111" s="336" t="s">
        <v>301</v>
      </c>
      <c r="AC111" s="336" t="s">
        <v>351</v>
      </c>
      <c r="AD111" s="336" t="s">
        <v>678</v>
      </c>
      <c r="AE111" s="337">
        <v>-9999</v>
      </c>
      <c r="AF111" s="338">
        <v>10</v>
      </c>
      <c r="AG111" s="336">
        <v>10</v>
      </c>
      <c r="AH111" s="336">
        <v>6</v>
      </c>
      <c r="AI111" s="339">
        <v>4984.9340139100004</v>
      </c>
      <c r="AJ111" s="340">
        <f t="shared" si="4"/>
        <v>0.11443833824403123</v>
      </c>
      <c r="AK111" s="340" t="str">
        <f t="shared" si="5"/>
        <v>SLR Adjacent</v>
      </c>
    </row>
    <row r="112" spans="1:37">
      <c r="A112" s="336">
        <v>1013</v>
      </c>
      <c r="B112" s="336" t="s">
        <v>823</v>
      </c>
      <c r="C112" s="336" t="s">
        <v>823</v>
      </c>
      <c r="D112" s="336" t="s">
        <v>824</v>
      </c>
      <c r="E112" s="336" t="s">
        <v>825</v>
      </c>
      <c r="F112" s="336"/>
      <c r="G112" s="337">
        <v>0</v>
      </c>
      <c r="H112" s="336" t="s">
        <v>687</v>
      </c>
      <c r="I112" s="336" t="s">
        <v>294</v>
      </c>
      <c r="J112" s="336" t="s">
        <v>826</v>
      </c>
      <c r="K112" s="336"/>
      <c r="L112" s="336" t="s">
        <v>369</v>
      </c>
      <c r="M112" s="336" t="s">
        <v>370</v>
      </c>
      <c r="N112" s="336">
        <v>131622</v>
      </c>
      <c r="O112" s="336">
        <v>89503</v>
      </c>
      <c r="P112" s="336">
        <v>0</v>
      </c>
      <c r="Q112" s="336" t="s">
        <v>423</v>
      </c>
      <c r="R112" s="336">
        <v>1</v>
      </c>
      <c r="S112" s="336">
        <v>1</v>
      </c>
      <c r="T112" s="336" t="s">
        <v>827</v>
      </c>
      <c r="U112" s="336">
        <v>5600</v>
      </c>
      <c r="V112" s="336">
        <v>0</v>
      </c>
      <c r="W112" s="336">
        <v>2</v>
      </c>
      <c r="X112" s="336">
        <v>0</v>
      </c>
      <c r="Y112" s="336" t="s">
        <v>425</v>
      </c>
      <c r="Z112" s="336" t="str">
        <f t="shared" si="6"/>
        <v>Duplex, Triplex, Fourplex</v>
      </c>
      <c r="AA112" s="336" t="s">
        <v>300</v>
      </c>
      <c r="AB112" s="336" t="s">
        <v>301</v>
      </c>
      <c r="AC112" s="336" t="s">
        <v>359</v>
      </c>
      <c r="AD112" s="336" t="s">
        <v>678</v>
      </c>
      <c r="AE112" s="337">
        <v>-9999</v>
      </c>
      <c r="AF112" s="338">
        <v>10</v>
      </c>
      <c r="AG112" s="336">
        <v>10</v>
      </c>
      <c r="AH112" s="336">
        <v>6</v>
      </c>
      <c r="AI112" s="339">
        <v>5863.41510776</v>
      </c>
      <c r="AJ112" s="340">
        <f t="shared" si="4"/>
        <v>0.13460548915886134</v>
      </c>
      <c r="AK112" s="340" t="str">
        <f t="shared" si="5"/>
        <v>SLR Adjacent</v>
      </c>
    </row>
    <row r="113" spans="1:37">
      <c r="A113" s="336">
        <v>1034</v>
      </c>
      <c r="B113" s="336" t="s">
        <v>828</v>
      </c>
      <c r="C113" s="336" t="s">
        <v>828</v>
      </c>
      <c r="D113" s="336" t="s">
        <v>829</v>
      </c>
      <c r="E113" s="336" t="s">
        <v>830</v>
      </c>
      <c r="F113" s="336"/>
      <c r="G113" s="337">
        <v>0</v>
      </c>
      <c r="H113" s="336" t="s">
        <v>831</v>
      </c>
      <c r="I113" s="336" t="s">
        <v>307</v>
      </c>
      <c r="J113" s="336" t="s">
        <v>832</v>
      </c>
      <c r="K113" s="336"/>
      <c r="L113" s="336" t="s">
        <v>369</v>
      </c>
      <c r="M113" s="336" t="s">
        <v>370</v>
      </c>
      <c r="N113" s="336">
        <v>161400</v>
      </c>
      <c r="O113" s="336">
        <v>103600</v>
      </c>
      <c r="P113" s="336">
        <v>0</v>
      </c>
      <c r="Q113" s="336" t="s">
        <v>423</v>
      </c>
      <c r="R113" s="336">
        <v>1</v>
      </c>
      <c r="S113" s="336">
        <v>1</v>
      </c>
      <c r="T113" s="336" t="s">
        <v>808</v>
      </c>
      <c r="U113" s="336">
        <v>5000</v>
      </c>
      <c r="V113" s="336">
        <v>0</v>
      </c>
      <c r="W113" s="336">
        <v>2</v>
      </c>
      <c r="X113" s="336">
        <v>0</v>
      </c>
      <c r="Y113" s="336" t="s">
        <v>425</v>
      </c>
      <c r="Z113" s="336" t="str">
        <f t="shared" si="6"/>
        <v>Duplex, Triplex, Fourplex</v>
      </c>
      <c r="AA113" s="336" t="s">
        <v>300</v>
      </c>
      <c r="AB113" s="336" t="s">
        <v>301</v>
      </c>
      <c r="AC113" s="336" t="s">
        <v>359</v>
      </c>
      <c r="AD113" s="336" t="s">
        <v>678</v>
      </c>
      <c r="AE113" s="337">
        <v>-9999</v>
      </c>
      <c r="AF113" s="338">
        <v>10</v>
      </c>
      <c r="AG113" s="336">
        <v>10</v>
      </c>
      <c r="AH113" s="336">
        <v>6</v>
      </c>
      <c r="AI113" s="339">
        <v>5028.5602515600003</v>
      </c>
      <c r="AJ113" s="340">
        <f t="shared" si="4"/>
        <v>0.11543985885123968</v>
      </c>
      <c r="AK113" s="340" t="str">
        <f t="shared" si="5"/>
        <v>SLR Adjacent</v>
      </c>
    </row>
    <row r="114" spans="1:37">
      <c r="A114" s="336">
        <v>1048</v>
      </c>
      <c r="B114" s="336" t="s">
        <v>833</v>
      </c>
      <c r="C114" s="336" t="s">
        <v>833</v>
      </c>
      <c r="D114" s="336" t="s">
        <v>834</v>
      </c>
      <c r="E114" s="336" t="s">
        <v>835</v>
      </c>
      <c r="F114" s="336"/>
      <c r="G114" s="337">
        <v>0</v>
      </c>
      <c r="H114" s="336" t="s">
        <v>831</v>
      </c>
      <c r="I114" s="336" t="s">
        <v>307</v>
      </c>
      <c r="J114" s="336" t="s">
        <v>836</v>
      </c>
      <c r="K114" s="336"/>
      <c r="L114" s="336" t="s">
        <v>369</v>
      </c>
      <c r="M114" s="336" t="s">
        <v>370</v>
      </c>
      <c r="N114" s="336">
        <v>33052</v>
      </c>
      <c r="O114" s="336">
        <v>29720</v>
      </c>
      <c r="P114" s="336">
        <v>0</v>
      </c>
      <c r="Q114" s="336" t="s">
        <v>423</v>
      </c>
      <c r="R114" s="336">
        <v>1</v>
      </c>
      <c r="S114" s="336">
        <v>1</v>
      </c>
      <c r="T114" s="336" t="s">
        <v>837</v>
      </c>
      <c r="U114" s="336">
        <v>5000</v>
      </c>
      <c r="V114" s="336">
        <v>0</v>
      </c>
      <c r="W114" s="336">
        <v>2</v>
      </c>
      <c r="X114" s="336">
        <v>0</v>
      </c>
      <c r="Y114" s="336" t="s">
        <v>425</v>
      </c>
      <c r="Z114" s="336" t="str">
        <f t="shared" si="6"/>
        <v>Duplex, Triplex, Fourplex</v>
      </c>
      <c r="AA114" s="336" t="s">
        <v>300</v>
      </c>
      <c r="AB114" s="336" t="s">
        <v>301</v>
      </c>
      <c r="AC114" s="336" t="s">
        <v>359</v>
      </c>
      <c r="AD114" s="336" t="s">
        <v>678</v>
      </c>
      <c r="AE114" s="337">
        <v>-9999</v>
      </c>
      <c r="AF114" s="338">
        <v>10</v>
      </c>
      <c r="AG114" s="336">
        <v>10</v>
      </c>
      <c r="AH114" s="336">
        <v>6</v>
      </c>
      <c r="AI114" s="339">
        <v>4986.9177811099999</v>
      </c>
      <c r="AJ114" s="340">
        <f t="shared" si="4"/>
        <v>0.1144838792724977</v>
      </c>
      <c r="AK114" s="340" t="str">
        <f t="shared" si="5"/>
        <v>SLR Adjacent</v>
      </c>
    </row>
    <row r="115" spans="1:37">
      <c r="A115" s="336">
        <v>1057</v>
      </c>
      <c r="B115" s="336" t="s">
        <v>838</v>
      </c>
      <c r="C115" s="336" t="s">
        <v>838</v>
      </c>
      <c r="D115" s="336" t="s">
        <v>839</v>
      </c>
      <c r="E115" s="336" t="s">
        <v>840</v>
      </c>
      <c r="F115" s="336"/>
      <c r="G115" s="337">
        <v>0</v>
      </c>
      <c r="H115" s="336" t="s">
        <v>831</v>
      </c>
      <c r="I115" s="336" t="s">
        <v>307</v>
      </c>
      <c r="J115" s="336" t="s">
        <v>841</v>
      </c>
      <c r="K115" s="336"/>
      <c r="L115" s="336" t="s">
        <v>369</v>
      </c>
      <c r="M115" s="336" t="s">
        <v>370</v>
      </c>
      <c r="N115" s="336">
        <v>174500</v>
      </c>
      <c r="O115" s="336">
        <v>65500</v>
      </c>
      <c r="P115" s="336">
        <v>0</v>
      </c>
      <c r="Q115" s="336" t="s">
        <v>423</v>
      </c>
      <c r="R115" s="336">
        <v>1</v>
      </c>
      <c r="S115" s="336">
        <v>1</v>
      </c>
      <c r="T115" s="336" t="s">
        <v>458</v>
      </c>
      <c r="U115" s="336">
        <v>5000</v>
      </c>
      <c r="V115" s="336">
        <v>0</v>
      </c>
      <c r="W115" s="336">
        <v>2</v>
      </c>
      <c r="X115" s="336">
        <v>0</v>
      </c>
      <c r="Y115" s="336" t="s">
        <v>425</v>
      </c>
      <c r="Z115" s="336" t="str">
        <f t="shared" si="6"/>
        <v>Duplex, Triplex, Fourplex</v>
      </c>
      <c r="AA115" s="336" t="s">
        <v>300</v>
      </c>
      <c r="AB115" s="336" t="s">
        <v>301</v>
      </c>
      <c r="AC115" s="336" t="s">
        <v>351</v>
      </c>
      <c r="AD115" s="336" t="s">
        <v>678</v>
      </c>
      <c r="AE115" s="337">
        <v>-9999</v>
      </c>
      <c r="AF115" s="338">
        <v>10</v>
      </c>
      <c r="AG115" s="336">
        <v>10</v>
      </c>
      <c r="AH115" s="336">
        <v>6</v>
      </c>
      <c r="AI115" s="339">
        <v>5098.1122504000004</v>
      </c>
      <c r="AJ115" s="340">
        <f t="shared" si="4"/>
        <v>0.11703655303948578</v>
      </c>
      <c r="AK115" s="340" t="str">
        <f t="shared" si="5"/>
        <v>SLR Adjacent</v>
      </c>
    </row>
    <row r="116" spans="1:37">
      <c r="A116" s="336">
        <v>1062</v>
      </c>
      <c r="B116" s="336" t="s">
        <v>842</v>
      </c>
      <c r="C116" s="336" t="s">
        <v>842</v>
      </c>
      <c r="D116" s="336" t="s">
        <v>843</v>
      </c>
      <c r="E116" s="336" t="s">
        <v>844</v>
      </c>
      <c r="F116" s="336"/>
      <c r="G116" s="337">
        <v>0</v>
      </c>
      <c r="H116" s="336" t="s">
        <v>682</v>
      </c>
      <c r="I116" s="336" t="s">
        <v>307</v>
      </c>
      <c r="J116" s="336" t="s">
        <v>845</v>
      </c>
      <c r="K116" s="336"/>
      <c r="L116" s="336" t="s">
        <v>369</v>
      </c>
      <c r="M116" s="336" t="s">
        <v>370</v>
      </c>
      <c r="N116" s="336">
        <v>250000</v>
      </c>
      <c r="O116" s="336">
        <v>120000</v>
      </c>
      <c r="P116" s="336">
        <v>0</v>
      </c>
      <c r="Q116" s="336" t="s">
        <v>423</v>
      </c>
      <c r="R116" s="336">
        <v>1</v>
      </c>
      <c r="S116" s="336">
        <v>1</v>
      </c>
      <c r="T116" s="336" t="s">
        <v>818</v>
      </c>
      <c r="U116" s="336">
        <v>5000</v>
      </c>
      <c r="V116" s="336">
        <v>0</v>
      </c>
      <c r="W116" s="336">
        <v>2</v>
      </c>
      <c r="X116" s="336">
        <v>0</v>
      </c>
      <c r="Y116" s="336" t="s">
        <v>425</v>
      </c>
      <c r="Z116" s="336" t="str">
        <f t="shared" si="6"/>
        <v>Duplex, Triplex, Fourplex</v>
      </c>
      <c r="AA116" s="336" t="s">
        <v>300</v>
      </c>
      <c r="AB116" s="336" t="s">
        <v>301</v>
      </c>
      <c r="AC116" s="336" t="s">
        <v>351</v>
      </c>
      <c r="AD116" s="336" t="s">
        <v>678</v>
      </c>
      <c r="AE116" s="337">
        <v>-9999</v>
      </c>
      <c r="AF116" s="338">
        <v>10</v>
      </c>
      <c r="AG116" s="336">
        <v>10</v>
      </c>
      <c r="AH116" s="336">
        <v>6</v>
      </c>
      <c r="AI116" s="339">
        <v>4957.7985297100004</v>
      </c>
      <c r="AJ116" s="340">
        <f t="shared" si="4"/>
        <v>0.11381539324403123</v>
      </c>
      <c r="AK116" s="340" t="str">
        <f t="shared" si="5"/>
        <v>SLR Adjacent</v>
      </c>
    </row>
    <row r="117" spans="1:37">
      <c r="A117" s="336">
        <v>1063</v>
      </c>
      <c r="B117" s="336" t="s">
        <v>846</v>
      </c>
      <c r="C117" s="336" t="s">
        <v>846</v>
      </c>
      <c r="D117" s="336" t="s">
        <v>847</v>
      </c>
      <c r="E117" s="336" t="s">
        <v>848</v>
      </c>
      <c r="F117" s="336"/>
      <c r="G117" s="337">
        <v>0</v>
      </c>
      <c r="H117" s="336" t="s">
        <v>831</v>
      </c>
      <c r="I117" s="336" t="s">
        <v>307</v>
      </c>
      <c r="J117" s="336" t="s">
        <v>849</v>
      </c>
      <c r="K117" s="336"/>
      <c r="L117" s="336" t="s">
        <v>369</v>
      </c>
      <c r="M117" s="336" t="s">
        <v>370</v>
      </c>
      <c r="N117" s="336">
        <v>33925</v>
      </c>
      <c r="O117" s="336">
        <v>34594</v>
      </c>
      <c r="P117" s="336">
        <v>0</v>
      </c>
      <c r="Q117" s="336" t="s">
        <v>423</v>
      </c>
      <c r="R117" s="336">
        <v>1</v>
      </c>
      <c r="S117" s="336">
        <v>1</v>
      </c>
      <c r="T117" s="336" t="s">
        <v>808</v>
      </c>
      <c r="U117" s="336">
        <v>4300</v>
      </c>
      <c r="V117" s="336">
        <v>0</v>
      </c>
      <c r="W117" s="336">
        <v>2</v>
      </c>
      <c r="X117" s="336">
        <v>0</v>
      </c>
      <c r="Y117" s="336" t="s">
        <v>425</v>
      </c>
      <c r="Z117" s="336" t="str">
        <f t="shared" si="6"/>
        <v>Duplex, Triplex, Fourplex</v>
      </c>
      <c r="AA117" s="336" t="s">
        <v>300</v>
      </c>
      <c r="AB117" s="336" t="s">
        <v>301</v>
      </c>
      <c r="AC117" s="336" t="s">
        <v>359</v>
      </c>
      <c r="AD117" s="336" t="s">
        <v>678</v>
      </c>
      <c r="AE117" s="337">
        <v>-9999</v>
      </c>
      <c r="AF117" s="338">
        <v>10</v>
      </c>
      <c r="AG117" s="336">
        <v>10</v>
      </c>
      <c r="AH117" s="336">
        <v>6</v>
      </c>
      <c r="AI117" s="339">
        <v>4025.9693912299999</v>
      </c>
      <c r="AJ117" s="340">
        <f t="shared" si="4"/>
        <v>9.2423539743572078E-2</v>
      </c>
      <c r="AK117" s="340" t="str">
        <f t="shared" si="5"/>
        <v>SLR Adjacent</v>
      </c>
    </row>
    <row r="118" spans="1:37">
      <c r="A118" s="336">
        <v>1064</v>
      </c>
      <c r="B118" s="336" t="s">
        <v>850</v>
      </c>
      <c r="C118" s="336" t="s">
        <v>850</v>
      </c>
      <c r="D118" s="336" t="s">
        <v>851</v>
      </c>
      <c r="E118" s="336" t="s">
        <v>852</v>
      </c>
      <c r="F118" s="336"/>
      <c r="G118" s="337">
        <v>0</v>
      </c>
      <c r="H118" s="336" t="s">
        <v>831</v>
      </c>
      <c r="I118" s="336" t="s">
        <v>307</v>
      </c>
      <c r="J118" s="336" t="s">
        <v>853</v>
      </c>
      <c r="K118" s="336"/>
      <c r="L118" s="336" t="s">
        <v>369</v>
      </c>
      <c r="M118" s="336" t="s">
        <v>370</v>
      </c>
      <c r="N118" s="336">
        <v>218120</v>
      </c>
      <c r="O118" s="336">
        <v>44583</v>
      </c>
      <c r="P118" s="336">
        <v>0</v>
      </c>
      <c r="Q118" s="336" t="s">
        <v>423</v>
      </c>
      <c r="R118" s="336">
        <v>1</v>
      </c>
      <c r="S118" s="336">
        <v>1</v>
      </c>
      <c r="T118" s="336" t="s">
        <v>808</v>
      </c>
      <c r="U118" s="336">
        <v>4300</v>
      </c>
      <c r="V118" s="336">
        <v>0</v>
      </c>
      <c r="W118" s="336">
        <v>2</v>
      </c>
      <c r="X118" s="336">
        <v>0</v>
      </c>
      <c r="Y118" s="336" t="s">
        <v>425</v>
      </c>
      <c r="Z118" s="336" t="str">
        <f t="shared" si="6"/>
        <v>Duplex, Triplex, Fourplex</v>
      </c>
      <c r="AA118" s="336" t="s">
        <v>300</v>
      </c>
      <c r="AB118" s="336" t="s">
        <v>301</v>
      </c>
      <c r="AC118" s="336" t="s">
        <v>351</v>
      </c>
      <c r="AD118" s="336" t="s">
        <v>678</v>
      </c>
      <c r="AE118" s="337">
        <v>-9999</v>
      </c>
      <c r="AF118" s="338">
        <v>10</v>
      </c>
      <c r="AG118" s="336">
        <v>10</v>
      </c>
      <c r="AH118" s="336">
        <v>6</v>
      </c>
      <c r="AI118" s="339">
        <v>4298.4425890800003</v>
      </c>
      <c r="AJ118" s="340">
        <f t="shared" si="4"/>
        <v>9.8678663661157032E-2</v>
      </c>
      <c r="AK118" s="340" t="str">
        <f t="shared" si="5"/>
        <v>SLR Adjacent</v>
      </c>
    </row>
    <row r="119" spans="1:37">
      <c r="A119" s="336">
        <v>1065</v>
      </c>
      <c r="B119" s="336" t="s">
        <v>854</v>
      </c>
      <c r="C119" s="336" t="s">
        <v>854</v>
      </c>
      <c r="D119" s="336" t="s">
        <v>855</v>
      </c>
      <c r="E119" s="336" t="s">
        <v>856</v>
      </c>
      <c r="F119" s="336"/>
      <c r="G119" s="337">
        <v>0</v>
      </c>
      <c r="H119" s="336" t="s">
        <v>831</v>
      </c>
      <c r="I119" s="336" t="s">
        <v>307</v>
      </c>
      <c r="J119" s="336" t="s">
        <v>857</v>
      </c>
      <c r="K119" s="336"/>
      <c r="L119" s="336" t="s">
        <v>369</v>
      </c>
      <c r="M119" s="336" t="s">
        <v>370</v>
      </c>
      <c r="N119" s="336">
        <v>83609</v>
      </c>
      <c r="O119" s="336">
        <v>62707</v>
      </c>
      <c r="P119" s="336">
        <v>0</v>
      </c>
      <c r="Q119" s="336" t="s">
        <v>423</v>
      </c>
      <c r="R119" s="336">
        <v>1</v>
      </c>
      <c r="S119" s="336">
        <v>1</v>
      </c>
      <c r="T119" s="336" t="s">
        <v>808</v>
      </c>
      <c r="U119" s="336">
        <v>4700</v>
      </c>
      <c r="V119" s="336">
        <v>0</v>
      </c>
      <c r="W119" s="336">
        <v>2</v>
      </c>
      <c r="X119" s="336">
        <v>0</v>
      </c>
      <c r="Y119" s="336" t="s">
        <v>425</v>
      </c>
      <c r="Z119" s="336" t="str">
        <f t="shared" si="6"/>
        <v>Duplex, Triplex, Fourplex</v>
      </c>
      <c r="AA119" s="336" t="s">
        <v>300</v>
      </c>
      <c r="AB119" s="336" t="s">
        <v>301</v>
      </c>
      <c r="AC119" s="336" t="s">
        <v>351</v>
      </c>
      <c r="AD119" s="336" t="s">
        <v>678</v>
      </c>
      <c r="AE119" s="337">
        <v>-9999</v>
      </c>
      <c r="AF119" s="338">
        <v>10</v>
      </c>
      <c r="AG119" s="336">
        <v>10</v>
      </c>
      <c r="AH119" s="336">
        <v>6</v>
      </c>
      <c r="AI119" s="339">
        <v>4239.7041440399998</v>
      </c>
      <c r="AJ119" s="340">
        <f t="shared" si="4"/>
        <v>9.7330214509641869E-2</v>
      </c>
      <c r="AK119" s="340" t="str">
        <f t="shared" si="5"/>
        <v>SLR Adjacent</v>
      </c>
    </row>
    <row r="120" spans="1:37">
      <c r="A120" s="336">
        <v>1066</v>
      </c>
      <c r="B120" s="336" t="s">
        <v>858</v>
      </c>
      <c r="C120" s="336" t="s">
        <v>858</v>
      </c>
      <c r="D120" s="336" t="s">
        <v>859</v>
      </c>
      <c r="E120" s="336" t="s">
        <v>860</v>
      </c>
      <c r="F120" s="336"/>
      <c r="G120" s="337">
        <v>0</v>
      </c>
      <c r="H120" s="336" t="s">
        <v>687</v>
      </c>
      <c r="I120" s="336" t="s">
        <v>294</v>
      </c>
      <c r="J120" s="336" t="s">
        <v>861</v>
      </c>
      <c r="K120" s="336"/>
      <c r="L120" s="336" t="s">
        <v>369</v>
      </c>
      <c r="M120" s="336" t="s">
        <v>370</v>
      </c>
      <c r="N120" s="336">
        <v>104512</v>
      </c>
      <c r="O120" s="336">
        <v>70545</v>
      </c>
      <c r="P120" s="336">
        <v>0</v>
      </c>
      <c r="Q120" s="336" t="s">
        <v>423</v>
      </c>
      <c r="R120" s="336">
        <v>1</v>
      </c>
      <c r="S120" s="336">
        <v>1</v>
      </c>
      <c r="T120" s="336" t="s">
        <v>808</v>
      </c>
      <c r="U120" s="336">
        <v>4200</v>
      </c>
      <c r="V120" s="336">
        <v>0</v>
      </c>
      <c r="W120" s="336">
        <v>2</v>
      </c>
      <c r="X120" s="336">
        <v>0</v>
      </c>
      <c r="Y120" s="336" t="s">
        <v>425</v>
      </c>
      <c r="Z120" s="336" t="str">
        <f t="shared" si="6"/>
        <v>Duplex, Triplex, Fourplex</v>
      </c>
      <c r="AA120" s="336" t="s">
        <v>300</v>
      </c>
      <c r="AB120" s="336" t="s">
        <v>301</v>
      </c>
      <c r="AC120" s="336" t="s">
        <v>359</v>
      </c>
      <c r="AD120" s="336" t="s">
        <v>678</v>
      </c>
      <c r="AE120" s="337">
        <v>-9999</v>
      </c>
      <c r="AF120" s="338">
        <v>10</v>
      </c>
      <c r="AG120" s="336">
        <v>10</v>
      </c>
      <c r="AH120" s="336">
        <v>6</v>
      </c>
      <c r="AI120" s="339">
        <v>4355.1836674300002</v>
      </c>
      <c r="AJ120" s="340">
        <f t="shared" si="4"/>
        <v>9.9981259582874196E-2</v>
      </c>
      <c r="AK120" s="340" t="str">
        <f t="shared" si="5"/>
        <v>SLR Adjacent</v>
      </c>
    </row>
    <row r="121" spans="1:37">
      <c r="A121" s="336">
        <v>1067</v>
      </c>
      <c r="B121" s="336" t="s">
        <v>862</v>
      </c>
      <c r="C121" s="336" t="s">
        <v>862</v>
      </c>
      <c r="D121" s="336" t="s">
        <v>859</v>
      </c>
      <c r="E121" s="336" t="s">
        <v>863</v>
      </c>
      <c r="F121" s="336"/>
      <c r="G121" s="337">
        <v>0</v>
      </c>
      <c r="H121" s="336" t="s">
        <v>687</v>
      </c>
      <c r="I121" s="336" t="s">
        <v>294</v>
      </c>
      <c r="J121" s="336" t="s">
        <v>864</v>
      </c>
      <c r="K121" s="336"/>
      <c r="L121" s="336" t="s">
        <v>369</v>
      </c>
      <c r="M121" s="336" t="s">
        <v>370</v>
      </c>
      <c r="N121" s="336">
        <v>104512</v>
      </c>
      <c r="O121" s="336">
        <v>65320</v>
      </c>
      <c r="P121" s="336">
        <v>0</v>
      </c>
      <c r="Q121" s="336" t="s">
        <v>423</v>
      </c>
      <c r="R121" s="336">
        <v>1</v>
      </c>
      <c r="S121" s="336">
        <v>1</v>
      </c>
      <c r="T121" s="336" t="s">
        <v>808</v>
      </c>
      <c r="U121" s="336">
        <v>4300</v>
      </c>
      <c r="V121" s="336">
        <v>0</v>
      </c>
      <c r="W121" s="336">
        <v>2</v>
      </c>
      <c r="X121" s="336">
        <v>0</v>
      </c>
      <c r="Y121" s="336" t="s">
        <v>425</v>
      </c>
      <c r="Z121" s="336" t="str">
        <f t="shared" si="6"/>
        <v>Duplex, Triplex, Fourplex</v>
      </c>
      <c r="AA121" s="336" t="s">
        <v>300</v>
      </c>
      <c r="AB121" s="336" t="s">
        <v>301</v>
      </c>
      <c r="AC121" s="336" t="s">
        <v>359</v>
      </c>
      <c r="AD121" s="336" t="s">
        <v>678</v>
      </c>
      <c r="AE121" s="337">
        <v>-9999</v>
      </c>
      <c r="AF121" s="338">
        <v>10</v>
      </c>
      <c r="AG121" s="336">
        <v>10</v>
      </c>
      <c r="AH121" s="336">
        <v>6</v>
      </c>
      <c r="AI121" s="339">
        <v>4250.5467933600003</v>
      </c>
      <c r="AJ121" s="340">
        <f t="shared" si="4"/>
        <v>9.7579127487603307E-2</v>
      </c>
      <c r="AK121" s="340" t="str">
        <f t="shared" si="5"/>
        <v>SLR Adjacent</v>
      </c>
    </row>
    <row r="122" spans="1:37">
      <c r="A122" s="336">
        <v>1068</v>
      </c>
      <c r="B122" s="336" t="s">
        <v>865</v>
      </c>
      <c r="C122" s="336" t="s">
        <v>865</v>
      </c>
      <c r="D122" s="336" t="s">
        <v>866</v>
      </c>
      <c r="E122" s="336" t="s">
        <v>867</v>
      </c>
      <c r="F122" s="336"/>
      <c r="G122" s="337">
        <v>0</v>
      </c>
      <c r="H122" s="336" t="s">
        <v>831</v>
      </c>
      <c r="I122" s="336" t="s">
        <v>307</v>
      </c>
      <c r="J122" s="336" t="s">
        <v>868</v>
      </c>
      <c r="K122" s="336"/>
      <c r="L122" s="336" t="s">
        <v>369</v>
      </c>
      <c r="M122" s="336" t="s">
        <v>370</v>
      </c>
      <c r="N122" s="336">
        <v>79206</v>
      </c>
      <c r="O122" s="336">
        <v>33931</v>
      </c>
      <c r="P122" s="336">
        <v>0</v>
      </c>
      <c r="Q122" s="336" t="s">
        <v>423</v>
      </c>
      <c r="R122" s="336">
        <v>1</v>
      </c>
      <c r="S122" s="336">
        <v>1</v>
      </c>
      <c r="T122" s="336" t="s">
        <v>808</v>
      </c>
      <c r="U122" s="336">
        <v>4900</v>
      </c>
      <c r="V122" s="336">
        <v>0</v>
      </c>
      <c r="W122" s="336">
        <v>2</v>
      </c>
      <c r="X122" s="336">
        <v>0</v>
      </c>
      <c r="Y122" s="336" t="s">
        <v>425</v>
      </c>
      <c r="Z122" s="336" t="str">
        <f t="shared" si="6"/>
        <v>Duplex, Triplex, Fourplex</v>
      </c>
      <c r="AA122" s="336" t="s">
        <v>300</v>
      </c>
      <c r="AB122" s="336" t="s">
        <v>301</v>
      </c>
      <c r="AC122" s="336" t="s">
        <v>351</v>
      </c>
      <c r="AD122" s="336" t="s">
        <v>678</v>
      </c>
      <c r="AE122" s="337">
        <v>-9999</v>
      </c>
      <c r="AF122" s="338">
        <v>10</v>
      </c>
      <c r="AG122" s="336">
        <v>10</v>
      </c>
      <c r="AH122" s="336">
        <v>6</v>
      </c>
      <c r="AI122" s="339">
        <v>4690.6610392000002</v>
      </c>
      <c r="AJ122" s="340">
        <f t="shared" si="4"/>
        <v>0.10768276031221305</v>
      </c>
      <c r="AK122" s="340" t="str">
        <f t="shared" si="5"/>
        <v>SLR Adjacent</v>
      </c>
    </row>
    <row r="123" spans="1:37">
      <c r="A123" s="336">
        <v>1071</v>
      </c>
      <c r="B123" s="336" t="s">
        <v>869</v>
      </c>
      <c r="C123" s="336" t="s">
        <v>869</v>
      </c>
      <c r="D123" s="336" t="s">
        <v>870</v>
      </c>
      <c r="E123" s="336" t="s">
        <v>871</v>
      </c>
      <c r="F123" s="336"/>
      <c r="G123" s="337">
        <v>0</v>
      </c>
      <c r="H123" s="336" t="s">
        <v>872</v>
      </c>
      <c r="I123" s="336" t="s">
        <v>294</v>
      </c>
      <c r="J123" s="336" t="s">
        <v>873</v>
      </c>
      <c r="K123" s="336"/>
      <c r="L123" s="336" t="s">
        <v>369</v>
      </c>
      <c r="M123" s="336" t="s">
        <v>370</v>
      </c>
      <c r="N123" s="336">
        <v>164265</v>
      </c>
      <c r="O123" s="336">
        <v>62124</v>
      </c>
      <c r="P123" s="336">
        <v>0</v>
      </c>
      <c r="Q123" s="336" t="s">
        <v>423</v>
      </c>
      <c r="R123" s="336">
        <v>1</v>
      </c>
      <c r="S123" s="336">
        <v>1</v>
      </c>
      <c r="T123" s="336" t="s">
        <v>808</v>
      </c>
      <c r="U123" s="336">
        <v>4100</v>
      </c>
      <c r="V123" s="336">
        <v>0</v>
      </c>
      <c r="W123" s="336">
        <v>2</v>
      </c>
      <c r="X123" s="336">
        <v>0</v>
      </c>
      <c r="Y123" s="336" t="s">
        <v>425</v>
      </c>
      <c r="Z123" s="336" t="str">
        <f t="shared" si="6"/>
        <v>Duplex, Triplex, Fourplex</v>
      </c>
      <c r="AA123" s="336" t="s">
        <v>300</v>
      </c>
      <c r="AB123" s="336" t="s">
        <v>301</v>
      </c>
      <c r="AC123" s="336" t="s">
        <v>351</v>
      </c>
      <c r="AD123" s="336" t="s">
        <v>678</v>
      </c>
      <c r="AE123" s="337">
        <v>-9999</v>
      </c>
      <c r="AF123" s="338">
        <v>10</v>
      </c>
      <c r="AG123" s="336">
        <v>10</v>
      </c>
      <c r="AH123" s="336">
        <v>6</v>
      </c>
      <c r="AI123" s="339">
        <v>4266.7602703399998</v>
      </c>
      <c r="AJ123" s="340">
        <f t="shared" si="4"/>
        <v>9.7951337702938471E-2</v>
      </c>
      <c r="AK123" s="340" t="str">
        <f t="shared" si="5"/>
        <v>SLR Adjacent</v>
      </c>
    </row>
    <row r="124" spans="1:37">
      <c r="A124" s="336">
        <v>1072</v>
      </c>
      <c r="B124" s="336" t="s">
        <v>874</v>
      </c>
      <c r="C124" s="336" t="s">
        <v>874</v>
      </c>
      <c r="D124" s="336" t="s">
        <v>875</v>
      </c>
      <c r="E124" s="336" t="s">
        <v>876</v>
      </c>
      <c r="F124" s="336"/>
      <c r="G124" s="337">
        <v>0</v>
      </c>
      <c r="H124" s="336" t="s">
        <v>877</v>
      </c>
      <c r="I124" s="336" t="s">
        <v>307</v>
      </c>
      <c r="J124" s="336" t="s">
        <v>878</v>
      </c>
      <c r="K124" s="336"/>
      <c r="L124" s="336" t="s">
        <v>369</v>
      </c>
      <c r="M124" s="336" t="s">
        <v>370</v>
      </c>
      <c r="N124" s="336">
        <v>162400</v>
      </c>
      <c r="O124" s="336">
        <v>102600</v>
      </c>
      <c r="P124" s="336">
        <v>0</v>
      </c>
      <c r="Q124" s="336" t="s">
        <v>423</v>
      </c>
      <c r="R124" s="336">
        <v>1</v>
      </c>
      <c r="S124" s="336">
        <v>1</v>
      </c>
      <c r="T124" s="336" t="s">
        <v>808</v>
      </c>
      <c r="U124" s="336">
        <v>4200</v>
      </c>
      <c r="V124" s="336">
        <v>0</v>
      </c>
      <c r="W124" s="336">
        <v>2</v>
      </c>
      <c r="X124" s="336">
        <v>0</v>
      </c>
      <c r="Y124" s="336" t="s">
        <v>425</v>
      </c>
      <c r="Z124" s="336" t="str">
        <f t="shared" si="6"/>
        <v>Duplex, Triplex, Fourplex</v>
      </c>
      <c r="AA124" s="336" t="s">
        <v>300</v>
      </c>
      <c r="AB124" s="336" t="s">
        <v>301</v>
      </c>
      <c r="AC124" s="336" t="s">
        <v>351</v>
      </c>
      <c r="AD124" s="336" t="s">
        <v>678</v>
      </c>
      <c r="AE124" s="337">
        <v>-9999</v>
      </c>
      <c r="AF124" s="338">
        <v>10</v>
      </c>
      <c r="AG124" s="336">
        <v>10</v>
      </c>
      <c r="AH124" s="336">
        <v>6</v>
      </c>
      <c r="AI124" s="339">
        <v>4197.9665948900001</v>
      </c>
      <c r="AJ124" s="340">
        <f t="shared" si="4"/>
        <v>9.6372052224288338E-2</v>
      </c>
      <c r="AK124" s="340" t="str">
        <f t="shared" si="5"/>
        <v>SLR Adjacent</v>
      </c>
    </row>
    <row r="125" spans="1:37">
      <c r="A125" s="336">
        <v>1099</v>
      </c>
      <c r="B125" s="336" t="s">
        <v>879</v>
      </c>
      <c r="C125" s="336" t="s">
        <v>879</v>
      </c>
      <c r="D125" s="336" t="s">
        <v>880</v>
      </c>
      <c r="E125" s="336" t="s">
        <v>881</v>
      </c>
      <c r="F125" s="336"/>
      <c r="G125" s="337">
        <v>0</v>
      </c>
      <c r="H125" s="336" t="s">
        <v>692</v>
      </c>
      <c r="I125" s="336" t="s">
        <v>294</v>
      </c>
      <c r="J125" s="336" t="s">
        <v>882</v>
      </c>
      <c r="K125" s="336"/>
      <c r="L125" s="336" t="s">
        <v>369</v>
      </c>
      <c r="M125" s="336" t="s">
        <v>370</v>
      </c>
      <c r="N125" s="336">
        <v>202200</v>
      </c>
      <c r="O125" s="336">
        <v>92800</v>
      </c>
      <c r="P125" s="336">
        <v>0</v>
      </c>
      <c r="Q125" s="336" t="s">
        <v>423</v>
      </c>
      <c r="R125" s="336">
        <v>1</v>
      </c>
      <c r="S125" s="336">
        <v>1</v>
      </c>
      <c r="T125" s="336" t="s">
        <v>883</v>
      </c>
      <c r="U125" s="336">
        <v>4884</v>
      </c>
      <c r="V125" s="336">
        <v>0</v>
      </c>
      <c r="W125" s="336">
        <v>2</v>
      </c>
      <c r="X125" s="336">
        <v>0</v>
      </c>
      <c r="Y125" s="336" t="s">
        <v>425</v>
      </c>
      <c r="Z125" s="336" t="str">
        <f t="shared" si="6"/>
        <v>Duplex, Triplex, Fourplex</v>
      </c>
      <c r="AA125" s="336" t="s">
        <v>300</v>
      </c>
      <c r="AB125" s="336" t="s">
        <v>301</v>
      </c>
      <c r="AC125" s="336" t="s">
        <v>351</v>
      </c>
      <c r="AD125" s="336" t="s">
        <v>678</v>
      </c>
      <c r="AE125" s="337">
        <v>-9999</v>
      </c>
      <c r="AF125" s="338">
        <v>10</v>
      </c>
      <c r="AG125" s="336">
        <v>10</v>
      </c>
      <c r="AH125" s="336">
        <v>6</v>
      </c>
      <c r="AI125" s="339">
        <v>5022.0824718599997</v>
      </c>
      <c r="AJ125" s="340">
        <f t="shared" si="4"/>
        <v>0.11529114949173554</v>
      </c>
      <c r="AK125" s="340" t="str">
        <f t="shared" si="5"/>
        <v>SLR Adjacent</v>
      </c>
    </row>
    <row r="126" spans="1:37">
      <c r="A126" s="336">
        <v>2783</v>
      </c>
      <c r="B126" s="336" t="s">
        <v>884</v>
      </c>
      <c r="C126" s="336" t="s">
        <v>884</v>
      </c>
      <c r="D126" s="336" t="s">
        <v>885</v>
      </c>
      <c r="E126" s="336" t="s">
        <v>886</v>
      </c>
      <c r="F126" s="336"/>
      <c r="G126" s="337">
        <v>0</v>
      </c>
      <c r="H126" s="336" t="s">
        <v>745</v>
      </c>
      <c r="I126" s="336" t="s">
        <v>294</v>
      </c>
      <c r="J126" s="336" t="s">
        <v>887</v>
      </c>
      <c r="K126" s="336"/>
      <c r="L126" s="336" t="s">
        <v>369</v>
      </c>
      <c r="M126" s="336" t="s">
        <v>704</v>
      </c>
      <c r="N126" s="336">
        <v>40000</v>
      </c>
      <c r="O126" s="336">
        <v>192000</v>
      </c>
      <c r="P126" s="336">
        <v>0</v>
      </c>
      <c r="Q126" s="336" t="s">
        <v>423</v>
      </c>
      <c r="R126" s="336">
        <v>1</v>
      </c>
      <c r="S126" s="336">
        <v>1</v>
      </c>
      <c r="T126" s="336" t="s">
        <v>888</v>
      </c>
      <c r="U126" s="336">
        <v>5000</v>
      </c>
      <c r="V126" s="336">
        <v>0</v>
      </c>
      <c r="W126" s="336">
        <v>2</v>
      </c>
      <c r="X126" s="336">
        <v>0</v>
      </c>
      <c r="Y126" s="336" t="s">
        <v>425</v>
      </c>
      <c r="Z126" s="336" t="str">
        <f t="shared" si="6"/>
        <v>Duplex, Triplex, Fourplex</v>
      </c>
      <c r="AA126" s="336" t="s">
        <v>300</v>
      </c>
      <c r="AB126" s="336" t="s">
        <v>301</v>
      </c>
      <c r="AC126" s="336" t="s">
        <v>351</v>
      </c>
      <c r="AD126" s="336" t="s">
        <v>678</v>
      </c>
      <c r="AE126" s="337">
        <v>-9999</v>
      </c>
      <c r="AF126" s="338">
        <v>10</v>
      </c>
      <c r="AG126" s="336">
        <v>10</v>
      </c>
      <c r="AH126" s="336">
        <v>6</v>
      </c>
      <c r="AI126" s="339">
        <v>4891.0756748200001</v>
      </c>
      <c r="AJ126" s="340">
        <f t="shared" si="4"/>
        <v>0.11228364726400368</v>
      </c>
      <c r="AK126" s="340" t="str">
        <f t="shared" si="5"/>
        <v>SLR Adjacent</v>
      </c>
    </row>
    <row r="127" spans="1:37">
      <c r="A127" s="336">
        <v>2784</v>
      </c>
      <c r="B127" s="336" t="s">
        <v>889</v>
      </c>
      <c r="C127" s="336" t="s">
        <v>889</v>
      </c>
      <c r="D127" s="336" t="s">
        <v>890</v>
      </c>
      <c r="E127" s="336" t="s">
        <v>886</v>
      </c>
      <c r="F127" s="336"/>
      <c r="G127" s="337">
        <v>0</v>
      </c>
      <c r="H127" s="336" t="s">
        <v>745</v>
      </c>
      <c r="I127" s="336" t="s">
        <v>294</v>
      </c>
      <c r="J127" s="336" t="s">
        <v>891</v>
      </c>
      <c r="K127" s="336"/>
      <c r="L127" s="336" t="s">
        <v>369</v>
      </c>
      <c r="M127" s="336" t="s">
        <v>704</v>
      </c>
      <c r="N127" s="336">
        <v>25302</v>
      </c>
      <c r="O127" s="336">
        <v>66275</v>
      </c>
      <c r="P127" s="336">
        <v>0</v>
      </c>
      <c r="Q127" s="336" t="s">
        <v>423</v>
      </c>
      <c r="R127" s="336">
        <v>1</v>
      </c>
      <c r="S127" s="336">
        <v>1</v>
      </c>
      <c r="T127" s="336" t="s">
        <v>883</v>
      </c>
      <c r="U127" s="336">
        <v>5000</v>
      </c>
      <c r="V127" s="336">
        <v>0</v>
      </c>
      <c r="W127" s="336">
        <v>2</v>
      </c>
      <c r="X127" s="336">
        <v>0</v>
      </c>
      <c r="Y127" s="336" t="s">
        <v>425</v>
      </c>
      <c r="Z127" s="336" t="str">
        <f t="shared" si="6"/>
        <v>Duplex, Triplex, Fourplex</v>
      </c>
      <c r="AA127" s="336" t="s">
        <v>300</v>
      </c>
      <c r="AB127" s="336" t="s">
        <v>301</v>
      </c>
      <c r="AC127" s="336" t="s">
        <v>351</v>
      </c>
      <c r="AD127" s="336" t="s">
        <v>678</v>
      </c>
      <c r="AE127" s="337">
        <v>-9999</v>
      </c>
      <c r="AF127" s="338">
        <v>10</v>
      </c>
      <c r="AG127" s="336">
        <v>10</v>
      </c>
      <c r="AH127" s="336">
        <v>6</v>
      </c>
      <c r="AI127" s="339">
        <v>4983.6568542799996</v>
      </c>
      <c r="AJ127" s="340">
        <f t="shared" si="4"/>
        <v>0.11440901869329659</v>
      </c>
      <c r="AK127" s="340" t="str">
        <f t="shared" si="5"/>
        <v>SLR Adjacent</v>
      </c>
    </row>
    <row r="128" spans="1:37">
      <c r="A128" s="336">
        <v>2842</v>
      </c>
      <c r="B128" s="336" t="s">
        <v>892</v>
      </c>
      <c r="C128" s="336" t="s">
        <v>892</v>
      </c>
      <c r="D128" s="336" t="s">
        <v>893</v>
      </c>
      <c r="E128" s="336" t="s">
        <v>894</v>
      </c>
      <c r="F128" s="336"/>
      <c r="G128" s="337">
        <v>0</v>
      </c>
      <c r="H128" s="336" t="s">
        <v>745</v>
      </c>
      <c r="I128" s="336" t="s">
        <v>294</v>
      </c>
      <c r="J128" s="336" t="s">
        <v>895</v>
      </c>
      <c r="K128" s="336"/>
      <c r="L128" s="336" t="s">
        <v>369</v>
      </c>
      <c r="M128" s="336" t="s">
        <v>704</v>
      </c>
      <c r="N128" s="336">
        <v>13018</v>
      </c>
      <c r="O128" s="336">
        <v>42325</v>
      </c>
      <c r="P128" s="336">
        <v>0</v>
      </c>
      <c r="Q128" s="336" t="s">
        <v>423</v>
      </c>
      <c r="R128" s="336">
        <v>1</v>
      </c>
      <c r="S128" s="336">
        <v>1</v>
      </c>
      <c r="T128" s="336" t="s">
        <v>756</v>
      </c>
      <c r="U128" s="336">
        <v>5000</v>
      </c>
      <c r="V128" s="336">
        <v>0</v>
      </c>
      <c r="W128" s="336">
        <v>2</v>
      </c>
      <c r="X128" s="336">
        <v>0</v>
      </c>
      <c r="Y128" s="336" t="s">
        <v>425</v>
      </c>
      <c r="Z128" s="336" t="str">
        <f t="shared" si="6"/>
        <v>Duplex, Triplex, Fourplex</v>
      </c>
      <c r="AA128" s="336" t="s">
        <v>300</v>
      </c>
      <c r="AB128" s="336" t="s">
        <v>301</v>
      </c>
      <c r="AC128" s="336" t="s">
        <v>351</v>
      </c>
      <c r="AD128" s="336" t="s">
        <v>678</v>
      </c>
      <c r="AE128" s="337">
        <v>-9999</v>
      </c>
      <c r="AF128" s="338">
        <v>10</v>
      </c>
      <c r="AG128" s="336">
        <v>10</v>
      </c>
      <c r="AH128" s="336">
        <v>6</v>
      </c>
      <c r="AI128" s="339">
        <v>4995.5227320900003</v>
      </c>
      <c r="AJ128" s="340">
        <f t="shared" si="4"/>
        <v>0.11468142176515152</v>
      </c>
      <c r="AK128" s="340" t="str">
        <f t="shared" si="5"/>
        <v>SLR Adjacent</v>
      </c>
    </row>
    <row r="129" spans="1:37">
      <c r="A129" s="336">
        <v>2847</v>
      </c>
      <c r="B129" s="336" t="s">
        <v>896</v>
      </c>
      <c r="C129" s="336" t="s">
        <v>896</v>
      </c>
      <c r="D129" s="336" t="s">
        <v>897</v>
      </c>
      <c r="E129" s="336" t="s">
        <v>898</v>
      </c>
      <c r="F129" s="336"/>
      <c r="G129" s="337">
        <v>0</v>
      </c>
      <c r="H129" s="336" t="s">
        <v>775</v>
      </c>
      <c r="I129" s="336" t="s">
        <v>294</v>
      </c>
      <c r="J129" s="336" t="s">
        <v>891</v>
      </c>
      <c r="K129" s="336"/>
      <c r="L129" s="336" t="s">
        <v>369</v>
      </c>
      <c r="M129" s="336" t="s">
        <v>704</v>
      </c>
      <c r="N129" s="336">
        <v>7815</v>
      </c>
      <c r="O129" s="336">
        <v>46121</v>
      </c>
      <c r="P129" s="336">
        <v>0</v>
      </c>
      <c r="Q129" s="336" t="s">
        <v>423</v>
      </c>
      <c r="R129" s="336">
        <v>1</v>
      </c>
      <c r="S129" s="336">
        <v>1</v>
      </c>
      <c r="T129" s="336" t="s">
        <v>899</v>
      </c>
      <c r="U129" s="336">
        <v>5000</v>
      </c>
      <c r="V129" s="336">
        <v>0</v>
      </c>
      <c r="W129" s="336">
        <v>2</v>
      </c>
      <c r="X129" s="336">
        <v>0</v>
      </c>
      <c r="Y129" s="336" t="s">
        <v>425</v>
      </c>
      <c r="Z129" s="336" t="str">
        <f t="shared" si="6"/>
        <v>Duplex, Triplex, Fourplex</v>
      </c>
      <c r="AA129" s="336" t="s">
        <v>300</v>
      </c>
      <c r="AB129" s="336" t="s">
        <v>301</v>
      </c>
      <c r="AC129" s="336" t="s">
        <v>359</v>
      </c>
      <c r="AD129" s="336" t="s">
        <v>678</v>
      </c>
      <c r="AE129" s="337">
        <v>-9999</v>
      </c>
      <c r="AF129" s="338">
        <v>10</v>
      </c>
      <c r="AG129" s="336">
        <v>10</v>
      </c>
      <c r="AH129" s="336">
        <v>6</v>
      </c>
      <c r="AI129" s="339">
        <v>4959.8953505700001</v>
      </c>
      <c r="AJ129" s="340">
        <f t="shared" si="4"/>
        <v>0.11386352962741048</v>
      </c>
      <c r="AK129" s="340" t="str">
        <f t="shared" si="5"/>
        <v>SLR Adjacent</v>
      </c>
    </row>
    <row r="130" spans="1:37">
      <c r="A130" s="336">
        <v>2848</v>
      </c>
      <c r="B130" s="336" t="s">
        <v>900</v>
      </c>
      <c r="C130" s="336" t="s">
        <v>900</v>
      </c>
      <c r="D130" s="336" t="s">
        <v>897</v>
      </c>
      <c r="E130" s="336" t="s">
        <v>901</v>
      </c>
      <c r="F130" s="336"/>
      <c r="G130" s="337">
        <v>0</v>
      </c>
      <c r="H130" s="336" t="s">
        <v>775</v>
      </c>
      <c r="I130" s="336" t="s">
        <v>294</v>
      </c>
      <c r="J130" s="336" t="s">
        <v>887</v>
      </c>
      <c r="K130" s="336"/>
      <c r="L130" s="336" t="s">
        <v>369</v>
      </c>
      <c r="M130" s="336" t="s">
        <v>704</v>
      </c>
      <c r="N130" s="336">
        <v>7815</v>
      </c>
      <c r="O130" s="336">
        <v>54832</v>
      </c>
      <c r="P130" s="336">
        <v>0</v>
      </c>
      <c r="Q130" s="336" t="s">
        <v>423</v>
      </c>
      <c r="R130" s="336">
        <v>1</v>
      </c>
      <c r="S130" s="336">
        <v>1</v>
      </c>
      <c r="T130" s="336" t="s">
        <v>469</v>
      </c>
      <c r="U130" s="336">
        <v>5000</v>
      </c>
      <c r="V130" s="336">
        <v>0</v>
      </c>
      <c r="W130" s="336">
        <v>2</v>
      </c>
      <c r="X130" s="336">
        <v>0</v>
      </c>
      <c r="Y130" s="336" t="s">
        <v>425</v>
      </c>
      <c r="Z130" s="336" t="str">
        <f t="shared" si="6"/>
        <v>Duplex, Triplex, Fourplex</v>
      </c>
      <c r="AA130" s="336" t="s">
        <v>300</v>
      </c>
      <c r="AB130" s="336" t="s">
        <v>301</v>
      </c>
      <c r="AC130" s="336" t="s">
        <v>359</v>
      </c>
      <c r="AD130" s="336" t="s">
        <v>678</v>
      </c>
      <c r="AE130" s="337">
        <v>-9999</v>
      </c>
      <c r="AF130" s="338">
        <v>10</v>
      </c>
      <c r="AG130" s="336">
        <v>10</v>
      </c>
      <c r="AH130" s="336">
        <v>6</v>
      </c>
      <c r="AI130" s="339">
        <v>5094.2123326999999</v>
      </c>
      <c r="AJ130" s="340">
        <f t="shared" ref="AJ130:AJ193" si="7">AI130/43560</f>
        <v>0.11694702324839303</v>
      </c>
      <c r="AK130" s="340" t="str">
        <f t="shared" ref="AK130:AK193" si="8">IF(AF130=10,IF(AG130=10,"SLR Adjacent","SLR not in FZ"),IF(AG130=10,"FZ no SLR","FZ with SLR"))</f>
        <v>SLR Adjacent</v>
      </c>
    </row>
    <row r="131" spans="1:37">
      <c r="A131" s="336">
        <v>2849</v>
      </c>
      <c r="B131" s="336" t="s">
        <v>902</v>
      </c>
      <c r="C131" s="336" t="s">
        <v>902</v>
      </c>
      <c r="D131" s="336" t="s">
        <v>903</v>
      </c>
      <c r="E131" s="336" t="s">
        <v>904</v>
      </c>
      <c r="F131" s="336"/>
      <c r="G131" s="337">
        <v>0</v>
      </c>
      <c r="H131" s="336" t="s">
        <v>784</v>
      </c>
      <c r="I131" s="336" t="s">
        <v>294</v>
      </c>
      <c r="J131" s="336" t="s">
        <v>905</v>
      </c>
      <c r="K131" s="336"/>
      <c r="L131" s="336" t="s">
        <v>369</v>
      </c>
      <c r="M131" s="336" t="s">
        <v>704</v>
      </c>
      <c r="N131" s="336">
        <v>30738</v>
      </c>
      <c r="O131" s="336">
        <v>61477</v>
      </c>
      <c r="P131" s="336">
        <v>0</v>
      </c>
      <c r="Q131" s="336" t="s">
        <v>423</v>
      </c>
      <c r="R131" s="336">
        <v>1</v>
      </c>
      <c r="S131" s="336">
        <v>1</v>
      </c>
      <c r="T131" s="336" t="s">
        <v>437</v>
      </c>
      <c r="U131" s="336">
        <v>5000</v>
      </c>
      <c r="V131" s="336">
        <v>0</v>
      </c>
      <c r="W131" s="336">
        <v>2</v>
      </c>
      <c r="X131" s="336">
        <v>0</v>
      </c>
      <c r="Y131" s="336" t="s">
        <v>425</v>
      </c>
      <c r="Z131" s="336" t="str">
        <f t="shared" si="6"/>
        <v>Duplex, Triplex, Fourplex</v>
      </c>
      <c r="AA131" s="336" t="s">
        <v>300</v>
      </c>
      <c r="AB131" s="336" t="s">
        <v>301</v>
      </c>
      <c r="AC131" s="336" t="s">
        <v>351</v>
      </c>
      <c r="AD131" s="336" t="s">
        <v>678</v>
      </c>
      <c r="AE131" s="337">
        <v>-9999</v>
      </c>
      <c r="AF131" s="338">
        <v>10</v>
      </c>
      <c r="AG131" s="336">
        <v>10</v>
      </c>
      <c r="AH131" s="336">
        <v>6</v>
      </c>
      <c r="AI131" s="339">
        <v>4985.3624039699998</v>
      </c>
      <c r="AJ131" s="340">
        <f t="shared" si="7"/>
        <v>0.11444817272658402</v>
      </c>
      <c r="AK131" s="340" t="str">
        <f t="shared" si="8"/>
        <v>SLR Adjacent</v>
      </c>
    </row>
    <row r="132" spans="1:37">
      <c r="A132" s="336">
        <v>1102</v>
      </c>
      <c r="B132" s="336" t="s">
        <v>906</v>
      </c>
      <c r="C132" s="336" t="s">
        <v>906</v>
      </c>
      <c r="D132" s="336" t="s">
        <v>907</v>
      </c>
      <c r="E132" s="336" t="s">
        <v>908</v>
      </c>
      <c r="F132" s="336"/>
      <c r="G132" s="337">
        <v>0</v>
      </c>
      <c r="H132" s="336" t="s">
        <v>909</v>
      </c>
      <c r="I132" s="336" t="s">
        <v>294</v>
      </c>
      <c r="J132" s="336" t="s">
        <v>910</v>
      </c>
      <c r="K132" s="336"/>
      <c r="L132" s="336" t="s">
        <v>369</v>
      </c>
      <c r="M132" s="336" t="s">
        <v>370</v>
      </c>
      <c r="N132" s="336">
        <v>31513</v>
      </c>
      <c r="O132" s="336">
        <v>141815</v>
      </c>
      <c r="P132" s="336">
        <v>0</v>
      </c>
      <c r="Q132" s="336" t="s">
        <v>298</v>
      </c>
      <c r="R132" s="336">
        <v>1</v>
      </c>
      <c r="S132" s="336">
        <v>1</v>
      </c>
      <c r="T132" s="336"/>
      <c r="U132" s="336">
        <v>0</v>
      </c>
      <c r="V132" s="336">
        <v>2</v>
      </c>
      <c r="W132" s="336">
        <v>3</v>
      </c>
      <c r="X132" s="336">
        <v>2087</v>
      </c>
      <c r="Y132" s="336" t="s">
        <v>503</v>
      </c>
      <c r="Z132" s="336" t="str">
        <f t="shared" si="6"/>
        <v>Duplex, Triplex, Fourplex</v>
      </c>
      <c r="AA132" s="336" t="s">
        <v>300</v>
      </c>
      <c r="AB132" s="336" t="s">
        <v>301</v>
      </c>
      <c r="AC132" s="336" t="s">
        <v>351</v>
      </c>
      <c r="AD132" s="336" t="s">
        <v>678</v>
      </c>
      <c r="AE132" s="337">
        <v>-9999</v>
      </c>
      <c r="AF132" s="338">
        <v>10</v>
      </c>
      <c r="AG132" s="336">
        <v>10</v>
      </c>
      <c r="AH132" s="336">
        <v>6</v>
      </c>
      <c r="AI132" s="339">
        <v>2461.3682461899998</v>
      </c>
      <c r="AJ132" s="340">
        <f t="shared" si="7"/>
        <v>5.6505239811524333E-2</v>
      </c>
      <c r="AK132" s="340" t="str">
        <f t="shared" si="8"/>
        <v>SLR Adjacent</v>
      </c>
    </row>
    <row r="133" spans="1:37">
      <c r="A133" s="336">
        <v>1103</v>
      </c>
      <c r="B133" s="336" t="s">
        <v>911</v>
      </c>
      <c r="C133" s="336" t="s">
        <v>911</v>
      </c>
      <c r="D133" s="336" t="s">
        <v>912</v>
      </c>
      <c r="E133" s="336" t="s">
        <v>913</v>
      </c>
      <c r="F133" s="336"/>
      <c r="G133" s="337">
        <v>0</v>
      </c>
      <c r="H133" s="336" t="s">
        <v>909</v>
      </c>
      <c r="I133" s="336" t="s">
        <v>294</v>
      </c>
      <c r="J133" s="336" t="s">
        <v>677</v>
      </c>
      <c r="K133" s="336"/>
      <c r="L133" s="336" t="s">
        <v>369</v>
      </c>
      <c r="M133" s="336" t="s">
        <v>370</v>
      </c>
      <c r="N133" s="336">
        <v>52100</v>
      </c>
      <c r="O133" s="336">
        <v>285400</v>
      </c>
      <c r="P133" s="336">
        <v>0</v>
      </c>
      <c r="Q133" s="336" t="s">
        <v>298</v>
      </c>
      <c r="R133" s="336">
        <v>1</v>
      </c>
      <c r="S133" s="336">
        <v>1</v>
      </c>
      <c r="T133" s="336"/>
      <c r="U133" s="336">
        <v>0</v>
      </c>
      <c r="V133" s="336">
        <v>2</v>
      </c>
      <c r="W133" s="336">
        <v>3</v>
      </c>
      <c r="X133" s="336">
        <v>1910</v>
      </c>
      <c r="Y133" s="336" t="s">
        <v>503</v>
      </c>
      <c r="Z133" s="336" t="str">
        <f t="shared" si="6"/>
        <v>Duplex, Triplex, Fourplex</v>
      </c>
      <c r="AA133" s="336" t="s">
        <v>300</v>
      </c>
      <c r="AB133" s="336" t="s">
        <v>301</v>
      </c>
      <c r="AC133" s="336" t="s">
        <v>351</v>
      </c>
      <c r="AD133" s="336" t="s">
        <v>678</v>
      </c>
      <c r="AE133" s="337">
        <v>-9999</v>
      </c>
      <c r="AF133" s="338">
        <v>10</v>
      </c>
      <c r="AG133" s="336">
        <v>10</v>
      </c>
      <c r="AH133" s="336">
        <v>6</v>
      </c>
      <c r="AI133" s="339">
        <v>5426.9494951899997</v>
      </c>
      <c r="AJ133" s="340">
        <f t="shared" si="7"/>
        <v>0.12458561742860422</v>
      </c>
      <c r="AK133" s="340" t="str">
        <f t="shared" si="8"/>
        <v>SLR Adjacent</v>
      </c>
    </row>
    <row r="134" spans="1:37">
      <c r="A134" s="336">
        <v>964</v>
      </c>
      <c r="B134" s="336" t="s">
        <v>914</v>
      </c>
      <c r="C134" s="336" t="s">
        <v>914</v>
      </c>
      <c r="D134" s="336" t="s">
        <v>915</v>
      </c>
      <c r="E134" s="336" t="s">
        <v>916</v>
      </c>
      <c r="F134" s="336"/>
      <c r="G134" s="337">
        <v>0</v>
      </c>
      <c r="H134" s="336" t="s">
        <v>708</v>
      </c>
      <c r="I134" s="336" t="s">
        <v>307</v>
      </c>
      <c r="J134" s="336" t="s">
        <v>917</v>
      </c>
      <c r="K134" s="336"/>
      <c r="L134" s="336" t="s">
        <v>369</v>
      </c>
      <c r="M134" s="336" t="s">
        <v>704</v>
      </c>
      <c r="N134" s="336">
        <v>52256</v>
      </c>
      <c r="O134" s="336">
        <v>78384</v>
      </c>
      <c r="P134" s="336">
        <v>0</v>
      </c>
      <c r="Q134" s="336" t="s">
        <v>298</v>
      </c>
      <c r="R134" s="336">
        <v>1</v>
      </c>
      <c r="S134" s="336">
        <v>1</v>
      </c>
      <c r="T134" s="336"/>
      <c r="U134" s="336">
        <v>0</v>
      </c>
      <c r="V134" s="336">
        <v>2</v>
      </c>
      <c r="W134" s="336">
        <v>4</v>
      </c>
      <c r="X134" s="336">
        <v>2600</v>
      </c>
      <c r="Y134" s="336" t="s">
        <v>517</v>
      </c>
      <c r="Z134" s="336" t="str">
        <f t="shared" si="6"/>
        <v>Duplex, Triplex, Fourplex</v>
      </c>
      <c r="AA134" s="336" t="s">
        <v>300</v>
      </c>
      <c r="AB134" s="336" t="s">
        <v>301</v>
      </c>
      <c r="AC134" s="336" t="s">
        <v>351</v>
      </c>
      <c r="AD134" s="336" t="s">
        <v>678</v>
      </c>
      <c r="AE134" s="337">
        <v>-9999</v>
      </c>
      <c r="AF134" s="338">
        <v>10</v>
      </c>
      <c r="AG134" s="336">
        <v>10</v>
      </c>
      <c r="AH134" s="336">
        <v>6</v>
      </c>
      <c r="AI134" s="339">
        <v>2441.8463544299998</v>
      </c>
      <c r="AJ134" s="340">
        <f t="shared" si="7"/>
        <v>5.6057078843663906E-2</v>
      </c>
      <c r="AK134" s="340" t="str">
        <f t="shared" si="8"/>
        <v>SLR Adjacent</v>
      </c>
    </row>
    <row r="135" spans="1:37">
      <c r="A135" s="336">
        <v>982</v>
      </c>
      <c r="B135" s="336" t="s">
        <v>918</v>
      </c>
      <c r="C135" s="336" t="s">
        <v>918</v>
      </c>
      <c r="D135" s="336" t="s">
        <v>919</v>
      </c>
      <c r="E135" s="336" t="s">
        <v>920</v>
      </c>
      <c r="F135" s="336"/>
      <c r="G135" s="337">
        <v>0</v>
      </c>
      <c r="H135" s="336" t="s">
        <v>702</v>
      </c>
      <c r="I135" s="336" t="s">
        <v>294</v>
      </c>
      <c r="J135" s="336" t="s">
        <v>921</v>
      </c>
      <c r="K135" s="336"/>
      <c r="L135" s="336" t="s">
        <v>369</v>
      </c>
      <c r="M135" s="336" t="s">
        <v>704</v>
      </c>
      <c r="N135" s="336">
        <v>100000</v>
      </c>
      <c r="O135" s="336">
        <v>257300</v>
      </c>
      <c r="P135" s="336">
        <v>0</v>
      </c>
      <c r="Q135" s="336" t="s">
        <v>298</v>
      </c>
      <c r="R135" s="336">
        <v>1</v>
      </c>
      <c r="S135" s="336">
        <v>1</v>
      </c>
      <c r="T135" s="336"/>
      <c r="U135" s="336">
        <v>0</v>
      </c>
      <c r="V135" s="336">
        <v>2</v>
      </c>
      <c r="W135" s="336">
        <v>4</v>
      </c>
      <c r="X135" s="336">
        <v>4116</v>
      </c>
      <c r="Y135" s="336" t="s">
        <v>517</v>
      </c>
      <c r="Z135" s="336" t="str">
        <f t="shared" si="6"/>
        <v>Duplex, Triplex, Fourplex</v>
      </c>
      <c r="AA135" s="336" t="s">
        <v>300</v>
      </c>
      <c r="AB135" s="336" t="s">
        <v>301</v>
      </c>
      <c r="AC135" s="336" t="s">
        <v>351</v>
      </c>
      <c r="AD135" s="336" t="s">
        <v>678</v>
      </c>
      <c r="AE135" s="337">
        <v>-9999</v>
      </c>
      <c r="AF135" s="338">
        <v>10</v>
      </c>
      <c r="AG135" s="336">
        <v>10</v>
      </c>
      <c r="AH135" s="336">
        <v>6</v>
      </c>
      <c r="AI135" s="339">
        <v>7381.2655273099999</v>
      </c>
      <c r="AJ135" s="340">
        <f t="shared" si="7"/>
        <v>0.1694505401127181</v>
      </c>
      <c r="AK135" s="340" t="str">
        <f t="shared" si="8"/>
        <v>SLR Adjacent</v>
      </c>
    </row>
    <row r="136" spans="1:37">
      <c r="A136" s="336">
        <v>1014</v>
      </c>
      <c r="B136" s="336" t="s">
        <v>922</v>
      </c>
      <c r="C136" s="336" t="s">
        <v>922</v>
      </c>
      <c r="D136" s="336" t="s">
        <v>923</v>
      </c>
      <c r="E136" s="336" t="s">
        <v>924</v>
      </c>
      <c r="F136" s="336"/>
      <c r="G136" s="337">
        <v>0</v>
      </c>
      <c r="H136" s="336" t="s">
        <v>687</v>
      </c>
      <c r="I136" s="336" t="s">
        <v>294</v>
      </c>
      <c r="J136" s="336" t="s">
        <v>925</v>
      </c>
      <c r="K136" s="336"/>
      <c r="L136" s="336" t="s">
        <v>369</v>
      </c>
      <c r="M136" s="336" t="s">
        <v>370</v>
      </c>
      <c r="N136" s="336">
        <v>34898</v>
      </c>
      <c r="O136" s="336">
        <v>81465</v>
      </c>
      <c r="P136" s="336">
        <v>0</v>
      </c>
      <c r="Q136" s="336" t="s">
        <v>298</v>
      </c>
      <c r="R136" s="336">
        <v>1</v>
      </c>
      <c r="S136" s="336">
        <v>1</v>
      </c>
      <c r="T136" s="336"/>
      <c r="U136" s="336">
        <v>0</v>
      </c>
      <c r="V136" s="336">
        <v>2</v>
      </c>
      <c r="W136" s="336">
        <v>4</v>
      </c>
      <c r="X136" s="336">
        <v>3000</v>
      </c>
      <c r="Y136" s="336" t="s">
        <v>517</v>
      </c>
      <c r="Z136" s="336" t="str">
        <f t="shared" si="6"/>
        <v>Duplex, Triplex, Fourplex</v>
      </c>
      <c r="AA136" s="336" t="s">
        <v>300</v>
      </c>
      <c r="AB136" s="336" t="s">
        <v>301</v>
      </c>
      <c r="AC136" s="336" t="s">
        <v>359</v>
      </c>
      <c r="AD136" s="336" t="s">
        <v>678</v>
      </c>
      <c r="AE136" s="337">
        <v>-9999</v>
      </c>
      <c r="AF136" s="338">
        <v>10</v>
      </c>
      <c r="AG136" s="336">
        <v>10</v>
      </c>
      <c r="AH136" s="336">
        <v>6</v>
      </c>
      <c r="AI136" s="339">
        <v>5662.45487048</v>
      </c>
      <c r="AJ136" s="340">
        <f t="shared" si="7"/>
        <v>0.1299920769164371</v>
      </c>
      <c r="AK136" s="340" t="str">
        <f t="shared" si="8"/>
        <v>SLR Adjacent</v>
      </c>
    </row>
    <row r="137" spans="1:37">
      <c r="A137" s="336">
        <v>1015</v>
      </c>
      <c r="B137" s="336" t="s">
        <v>926</v>
      </c>
      <c r="C137" s="336" t="s">
        <v>926</v>
      </c>
      <c r="D137" s="336" t="s">
        <v>927</v>
      </c>
      <c r="E137" s="336" t="s">
        <v>928</v>
      </c>
      <c r="F137" s="336"/>
      <c r="G137" s="337">
        <v>0</v>
      </c>
      <c r="H137" s="336" t="s">
        <v>687</v>
      </c>
      <c r="I137" s="336" t="s">
        <v>294</v>
      </c>
      <c r="J137" s="336" t="s">
        <v>929</v>
      </c>
      <c r="K137" s="336"/>
      <c r="L137" s="336" t="s">
        <v>369</v>
      </c>
      <c r="M137" s="336" t="s">
        <v>370</v>
      </c>
      <c r="N137" s="336">
        <v>55450</v>
      </c>
      <c r="O137" s="336">
        <v>163592</v>
      </c>
      <c r="P137" s="336">
        <v>0</v>
      </c>
      <c r="Q137" s="336" t="s">
        <v>298</v>
      </c>
      <c r="R137" s="336">
        <v>1</v>
      </c>
      <c r="S137" s="336">
        <v>1</v>
      </c>
      <c r="T137" s="336"/>
      <c r="U137" s="336">
        <v>0</v>
      </c>
      <c r="V137" s="336">
        <v>2</v>
      </c>
      <c r="W137" s="336">
        <v>4</v>
      </c>
      <c r="X137" s="336">
        <v>3000</v>
      </c>
      <c r="Y137" s="336" t="s">
        <v>517</v>
      </c>
      <c r="Z137" s="336" t="str">
        <f t="shared" si="6"/>
        <v>Duplex, Triplex, Fourplex</v>
      </c>
      <c r="AA137" s="336" t="s">
        <v>300</v>
      </c>
      <c r="AB137" s="336" t="s">
        <v>301</v>
      </c>
      <c r="AC137" s="336" t="s">
        <v>359</v>
      </c>
      <c r="AD137" s="336" t="s">
        <v>678</v>
      </c>
      <c r="AE137" s="337">
        <v>-9999</v>
      </c>
      <c r="AF137" s="338">
        <v>10</v>
      </c>
      <c r="AG137" s="336">
        <v>10</v>
      </c>
      <c r="AH137" s="336">
        <v>6</v>
      </c>
      <c r="AI137" s="339">
        <v>4848.0424032600004</v>
      </c>
      <c r="AJ137" s="340">
        <f t="shared" si="7"/>
        <v>0.11129573928512397</v>
      </c>
      <c r="AK137" s="340" t="str">
        <f t="shared" si="8"/>
        <v>SLR Adjacent</v>
      </c>
    </row>
    <row r="138" spans="1:37">
      <c r="A138" s="336">
        <v>1017</v>
      </c>
      <c r="B138" s="336" t="s">
        <v>930</v>
      </c>
      <c r="C138" s="336" t="s">
        <v>930</v>
      </c>
      <c r="D138" s="336" t="s">
        <v>931</v>
      </c>
      <c r="E138" s="336" t="s">
        <v>932</v>
      </c>
      <c r="F138" s="336"/>
      <c r="G138" s="337">
        <v>0</v>
      </c>
      <c r="H138" s="336" t="s">
        <v>933</v>
      </c>
      <c r="I138" s="336" t="s">
        <v>294</v>
      </c>
      <c r="J138" s="336" t="s">
        <v>934</v>
      </c>
      <c r="K138" s="336"/>
      <c r="L138" s="336" t="s">
        <v>369</v>
      </c>
      <c r="M138" s="336" t="s">
        <v>370</v>
      </c>
      <c r="N138" s="336">
        <v>174600</v>
      </c>
      <c r="O138" s="336">
        <v>275400</v>
      </c>
      <c r="P138" s="336">
        <v>0</v>
      </c>
      <c r="Q138" s="336" t="s">
        <v>298</v>
      </c>
      <c r="R138" s="336">
        <v>1</v>
      </c>
      <c r="S138" s="336">
        <v>1</v>
      </c>
      <c r="T138" s="336"/>
      <c r="U138" s="336">
        <v>0</v>
      </c>
      <c r="V138" s="336">
        <v>2</v>
      </c>
      <c r="W138" s="336">
        <v>4</v>
      </c>
      <c r="X138" s="336">
        <v>2754</v>
      </c>
      <c r="Y138" s="336" t="s">
        <v>517</v>
      </c>
      <c r="Z138" s="336" t="str">
        <f t="shared" si="6"/>
        <v>Duplex, Triplex, Fourplex</v>
      </c>
      <c r="AA138" s="336" t="s">
        <v>300</v>
      </c>
      <c r="AB138" s="336" t="s">
        <v>301</v>
      </c>
      <c r="AC138" s="336" t="s">
        <v>359</v>
      </c>
      <c r="AD138" s="336" t="s">
        <v>678</v>
      </c>
      <c r="AE138" s="337">
        <v>-9999</v>
      </c>
      <c r="AF138" s="338">
        <v>10</v>
      </c>
      <c r="AG138" s="336">
        <v>10</v>
      </c>
      <c r="AH138" s="336">
        <v>6</v>
      </c>
      <c r="AI138" s="339">
        <v>6347.0111283599999</v>
      </c>
      <c r="AJ138" s="340">
        <f t="shared" si="7"/>
        <v>0.14570732617906335</v>
      </c>
      <c r="AK138" s="340" t="str">
        <f t="shared" si="8"/>
        <v>SLR Adjacent</v>
      </c>
    </row>
    <row r="139" spans="1:37">
      <c r="A139" s="336">
        <v>1021</v>
      </c>
      <c r="B139" s="336" t="s">
        <v>935</v>
      </c>
      <c r="C139" s="336" t="s">
        <v>935</v>
      </c>
      <c r="D139" s="336" t="s">
        <v>936</v>
      </c>
      <c r="E139" s="336" t="s">
        <v>937</v>
      </c>
      <c r="F139" s="336"/>
      <c r="G139" s="337">
        <v>0</v>
      </c>
      <c r="H139" s="336" t="s">
        <v>933</v>
      </c>
      <c r="I139" s="336" t="s">
        <v>294</v>
      </c>
      <c r="J139" s="336" t="s">
        <v>938</v>
      </c>
      <c r="K139" s="336"/>
      <c r="L139" s="336" t="s">
        <v>369</v>
      </c>
      <c r="M139" s="336" t="s">
        <v>370</v>
      </c>
      <c r="N139" s="336">
        <v>105298</v>
      </c>
      <c r="O139" s="336">
        <v>321160</v>
      </c>
      <c r="P139" s="336">
        <v>0</v>
      </c>
      <c r="Q139" s="336" t="s">
        <v>298</v>
      </c>
      <c r="R139" s="336">
        <v>1</v>
      </c>
      <c r="S139" s="336">
        <v>1</v>
      </c>
      <c r="T139" s="336"/>
      <c r="U139" s="336">
        <v>0</v>
      </c>
      <c r="V139" s="336">
        <v>2</v>
      </c>
      <c r="W139" s="336">
        <v>4</v>
      </c>
      <c r="X139" s="336">
        <v>2958</v>
      </c>
      <c r="Y139" s="336" t="s">
        <v>517</v>
      </c>
      <c r="Z139" s="336" t="str">
        <f t="shared" si="6"/>
        <v>Duplex, Triplex, Fourplex</v>
      </c>
      <c r="AA139" s="336" t="s">
        <v>300</v>
      </c>
      <c r="AB139" s="336" t="s">
        <v>301</v>
      </c>
      <c r="AC139" s="336" t="s">
        <v>359</v>
      </c>
      <c r="AD139" s="336" t="s">
        <v>678</v>
      </c>
      <c r="AE139" s="337">
        <v>-9999</v>
      </c>
      <c r="AF139" s="338">
        <v>10</v>
      </c>
      <c r="AG139" s="336">
        <v>10</v>
      </c>
      <c r="AH139" s="336">
        <v>6</v>
      </c>
      <c r="AI139" s="339">
        <v>5031.5994126599999</v>
      </c>
      <c r="AJ139" s="340">
        <f t="shared" si="7"/>
        <v>0.11550962838980716</v>
      </c>
      <c r="AK139" s="340" t="str">
        <f t="shared" si="8"/>
        <v>SLR Adjacent</v>
      </c>
    </row>
    <row r="140" spans="1:37">
      <c r="A140" s="336">
        <v>1022</v>
      </c>
      <c r="B140" s="336" t="s">
        <v>939</v>
      </c>
      <c r="C140" s="336" t="s">
        <v>939</v>
      </c>
      <c r="D140" s="336" t="s">
        <v>940</v>
      </c>
      <c r="E140" s="336" t="s">
        <v>941</v>
      </c>
      <c r="F140" s="336"/>
      <c r="G140" s="337">
        <v>0</v>
      </c>
      <c r="H140" s="336" t="s">
        <v>933</v>
      </c>
      <c r="I140" s="336" t="s">
        <v>294</v>
      </c>
      <c r="J140" s="336" t="s">
        <v>942</v>
      </c>
      <c r="K140" s="336"/>
      <c r="L140" s="336" t="s">
        <v>369</v>
      </c>
      <c r="M140" s="336" t="s">
        <v>370</v>
      </c>
      <c r="N140" s="336">
        <v>400000</v>
      </c>
      <c r="O140" s="336">
        <v>259000</v>
      </c>
      <c r="P140" s="336">
        <v>0</v>
      </c>
      <c r="Q140" s="336" t="s">
        <v>298</v>
      </c>
      <c r="R140" s="336">
        <v>1</v>
      </c>
      <c r="S140" s="336">
        <v>1</v>
      </c>
      <c r="T140" s="336"/>
      <c r="U140" s="336">
        <v>0</v>
      </c>
      <c r="V140" s="336">
        <v>2</v>
      </c>
      <c r="W140" s="336">
        <v>4</v>
      </c>
      <c r="X140" s="336">
        <v>2958</v>
      </c>
      <c r="Y140" s="336" t="s">
        <v>517</v>
      </c>
      <c r="Z140" s="336" t="str">
        <f t="shared" si="6"/>
        <v>Duplex, Triplex, Fourplex</v>
      </c>
      <c r="AA140" s="336" t="s">
        <v>300</v>
      </c>
      <c r="AB140" s="336" t="s">
        <v>301</v>
      </c>
      <c r="AC140" s="336" t="s">
        <v>359</v>
      </c>
      <c r="AD140" s="336" t="s">
        <v>678</v>
      </c>
      <c r="AE140" s="337">
        <v>-9999</v>
      </c>
      <c r="AF140" s="338">
        <v>10</v>
      </c>
      <c r="AG140" s="336">
        <v>10</v>
      </c>
      <c r="AH140" s="336">
        <v>6</v>
      </c>
      <c r="AI140" s="339">
        <v>4947.58485664</v>
      </c>
      <c r="AJ140" s="340">
        <f t="shared" si="7"/>
        <v>0.11358091957392102</v>
      </c>
      <c r="AK140" s="340" t="str">
        <f t="shared" si="8"/>
        <v>SLR Adjacent</v>
      </c>
    </row>
    <row r="141" spans="1:37">
      <c r="A141" s="336">
        <v>1069</v>
      </c>
      <c r="B141" s="336" t="s">
        <v>943</v>
      </c>
      <c r="C141" s="336" t="s">
        <v>943</v>
      </c>
      <c r="D141" s="336" t="s">
        <v>944</v>
      </c>
      <c r="E141" s="336" t="s">
        <v>945</v>
      </c>
      <c r="F141" s="336"/>
      <c r="G141" s="337">
        <v>0</v>
      </c>
      <c r="H141" s="336" t="s">
        <v>682</v>
      </c>
      <c r="I141" s="336" t="s">
        <v>307</v>
      </c>
      <c r="J141" s="336" t="s">
        <v>853</v>
      </c>
      <c r="K141" s="336"/>
      <c r="L141" s="336" t="s">
        <v>369</v>
      </c>
      <c r="M141" s="336" t="s">
        <v>370</v>
      </c>
      <c r="N141" s="336">
        <v>73533</v>
      </c>
      <c r="O141" s="336">
        <v>252117</v>
      </c>
      <c r="P141" s="336">
        <v>0</v>
      </c>
      <c r="Q141" s="336" t="s">
        <v>298</v>
      </c>
      <c r="R141" s="336">
        <v>1</v>
      </c>
      <c r="S141" s="336">
        <v>1</v>
      </c>
      <c r="T141" s="336"/>
      <c r="U141" s="336">
        <v>0</v>
      </c>
      <c r="V141" s="336">
        <v>2</v>
      </c>
      <c r="W141" s="336">
        <v>4</v>
      </c>
      <c r="X141" s="336">
        <v>3002</v>
      </c>
      <c r="Y141" s="336" t="s">
        <v>517</v>
      </c>
      <c r="Z141" s="336" t="str">
        <f t="shared" si="6"/>
        <v>Duplex, Triplex, Fourplex</v>
      </c>
      <c r="AA141" s="336" t="s">
        <v>300</v>
      </c>
      <c r="AB141" s="336" t="s">
        <v>301</v>
      </c>
      <c r="AC141" s="336" t="s">
        <v>351</v>
      </c>
      <c r="AD141" s="336" t="s">
        <v>678</v>
      </c>
      <c r="AE141" s="337">
        <v>-9999</v>
      </c>
      <c r="AF141" s="338">
        <v>10</v>
      </c>
      <c r="AG141" s="336">
        <v>10</v>
      </c>
      <c r="AH141" s="336">
        <v>6</v>
      </c>
      <c r="AI141" s="339">
        <v>5533.2488058400004</v>
      </c>
      <c r="AJ141" s="340">
        <f t="shared" si="7"/>
        <v>0.12702591381634529</v>
      </c>
      <c r="AK141" s="340" t="str">
        <f t="shared" si="8"/>
        <v>SLR Adjacent</v>
      </c>
    </row>
    <row r="142" spans="1:37">
      <c r="A142" s="336">
        <v>1070</v>
      </c>
      <c r="B142" s="336" t="s">
        <v>946</v>
      </c>
      <c r="C142" s="336" t="s">
        <v>946</v>
      </c>
      <c r="D142" s="336" t="s">
        <v>947</v>
      </c>
      <c r="E142" s="336" t="s">
        <v>948</v>
      </c>
      <c r="F142" s="336"/>
      <c r="G142" s="337">
        <v>0</v>
      </c>
      <c r="H142" s="336" t="s">
        <v>687</v>
      </c>
      <c r="I142" s="336" t="s">
        <v>294</v>
      </c>
      <c r="J142" s="336" t="s">
        <v>949</v>
      </c>
      <c r="K142" s="336"/>
      <c r="L142" s="336" t="s">
        <v>369</v>
      </c>
      <c r="M142" s="336" t="s">
        <v>370</v>
      </c>
      <c r="N142" s="336">
        <v>84037</v>
      </c>
      <c r="O142" s="336">
        <v>319349</v>
      </c>
      <c r="P142" s="336">
        <v>0</v>
      </c>
      <c r="Q142" s="336" t="s">
        <v>298</v>
      </c>
      <c r="R142" s="336">
        <v>1</v>
      </c>
      <c r="S142" s="336">
        <v>1</v>
      </c>
      <c r="T142" s="336"/>
      <c r="U142" s="336">
        <v>0</v>
      </c>
      <c r="V142" s="336">
        <v>2</v>
      </c>
      <c r="W142" s="336">
        <v>4</v>
      </c>
      <c r="X142" s="336">
        <v>3002</v>
      </c>
      <c r="Y142" s="336" t="s">
        <v>517</v>
      </c>
      <c r="Z142" s="336" t="str">
        <f t="shared" si="6"/>
        <v>Duplex, Triplex, Fourplex</v>
      </c>
      <c r="AA142" s="336" t="s">
        <v>300</v>
      </c>
      <c r="AB142" s="336" t="s">
        <v>301</v>
      </c>
      <c r="AC142" s="336" t="s">
        <v>351</v>
      </c>
      <c r="AD142" s="336" t="s">
        <v>678</v>
      </c>
      <c r="AE142" s="337">
        <v>-9999</v>
      </c>
      <c r="AF142" s="338">
        <v>10</v>
      </c>
      <c r="AG142" s="336">
        <v>10</v>
      </c>
      <c r="AH142" s="336">
        <v>6</v>
      </c>
      <c r="AI142" s="339">
        <v>5066.17643039</v>
      </c>
      <c r="AJ142" s="340">
        <f t="shared" si="7"/>
        <v>0.11630340749288338</v>
      </c>
      <c r="AK142" s="340" t="str">
        <f t="shared" si="8"/>
        <v>SLR Adjacent</v>
      </c>
    </row>
    <row r="143" spans="1:37">
      <c r="A143" s="336">
        <v>1077</v>
      </c>
      <c r="B143" s="336" t="s">
        <v>950</v>
      </c>
      <c r="C143" s="336" t="s">
        <v>950</v>
      </c>
      <c r="D143" s="336" t="s">
        <v>685</v>
      </c>
      <c r="E143" s="336" t="s">
        <v>951</v>
      </c>
      <c r="F143" s="336"/>
      <c r="G143" s="337">
        <v>0</v>
      </c>
      <c r="H143" s="336" t="s">
        <v>687</v>
      </c>
      <c r="I143" s="336" t="s">
        <v>294</v>
      </c>
      <c r="J143" s="336" t="s">
        <v>952</v>
      </c>
      <c r="K143" s="336"/>
      <c r="L143" s="336" t="s">
        <v>369</v>
      </c>
      <c r="M143" s="336" t="s">
        <v>370</v>
      </c>
      <c r="N143" s="336">
        <v>54799</v>
      </c>
      <c r="O143" s="336">
        <v>79463</v>
      </c>
      <c r="P143" s="336">
        <v>0</v>
      </c>
      <c r="Q143" s="336" t="s">
        <v>298</v>
      </c>
      <c r="R143" s="336">
        <v>1</v>
      </c>
      <c r="S143" s="336">
        <v>1</v>
      </c>
      <c r="T143" s="336"/>
      <c r="U143" s="336">
        <v>0</v>
      </c>
      <c r="V143" s="336">
        <v>2</v>
      </c>
      <c r="W143" s="336">
        <v>4</v>
      </c>
      <c r="X143" s="336">
        <v>3252</v>
      </c>
      <c r="Y143" s="336" t="s">
        <v>517</v>
      </c>
      <c r="Z143" s="336" t="str">
        <f t="shared" si="6"/>
        <v>Duplex, Triplex, Fourplex</v>
      </c>
      <c r="AA143" s="336" t="s">
        <v>300</v>
      </c>
      <c r="AB143" s="336" t="s">
        <v>301</v>
      </c>
      <c r="AC143" s="336" t="s">
        <v>359</v>
      </c>
      <c r="AD143" s="336" t="s">
        <v>678</v>
      </c>
      <c r="AE143" s="337">
        <v>-9999</v>
      </c>
      <c r="AF143" s="338">
        <v>10</v>
      </c>
      <c r="AG143" s="336">
        <v>10</v>
      </c>
      <c r="AH143" s="336">
        <v>6</v>
      </c>
      <c r="AI143" s="339">
        <v>5187.0240182999996</v>
      </c>
      <c r="AJ143" s="340">
        <f t="shared" si="7"/>
        <v>0.11907768637052341</v>
      </c>
      <c r="AK143" s="340" t="str">
        <f t="shared" si="8"/>
        <v>SLR Adjacent</v>
      </c>
    </row>
    <row r="144" spans="1:37">
      <c r="A144" s="336">
        <v>1079</v>
      </c>
      <c r="B144" s="336" t="s">
        <v>953</v>
      </c>
      <c r="C144" s="336" t="s">
        <v>953</v>
      </c>
      <c r="D144" s="336" t="s">
        <v>685</v>
      </c>
      <c r="E144" s="336" t="s">
        <v>954</v>
      </c>
      <c r="F144" s="336"/>
      <c r="G144" s="337">
        <v>0</v>
      </c>
      <c r="H144" s="336" t="s">
        <v>687</v>
      </c>
      <c r="I144" s="336" t="s">
        <v>294</v>
      </c>
      <c r="J144" s="336" t="s">
        <v>955</v>
      </c>
      <c r="K144" s="336"/>
      <c r="L144" s="336" t="s">
        <v>369</v>
      </c>
      <c r="M144" s="336" t="s">
        <v>370</v>
      </c>
      <c r="N144" s="336">
        <v>54799</v>
      </c>
      <c r="O144" s="336">
        <v>79463</v>
      </c>
      <c r="P144" s="336">
        <v>0</v>
      </c>
      <c r="Q144" s="336" t="s">
        <v>298</v>
      </c>
      <c r="R144" s="336">
        <v>1</v>
      </c>
      <c r="S144" s="336">
        <v>1</v>
      </c>
      <c r="T144" s="336"/>
      <c r="U144" s="336">
        <v>0</v>
      </c>
      <c r="V144" s="336">
        <v>2</v>
      </c>
      <c r="W144" s="336">
        <v>4</v>
      </c>
      <c r="X144" s="336">
        <v>3240</v>
      </c>
      <c r="Y144" s="336" t="s">
        <v>517</v>
      </c>
      <c r="Z144" s="336" t="str">
        <f t="shared" si="6"/>
        <v>Duplex, Triplex, Fourplex</v>
      </c>
      <c r="AA144" s="336" t="s">
        <v>300</v>
      </c>
      <c r="AB144" s="336" t="s">
        <v>301</v>
      </c>
      <c r="AC144" s="336" t="s">
        <v>359</v>
      </c>
      <c r="AD144" s="336" t="s">
        <v>678</v>
      </c>
      <c r="AE144" s="337">
        <v>-9999</v>
      </c>
      <c r="AF144" s="338">
        <v>10</v>
      </c>
      <c r="AG144" s="336">
        <v>10</v>
      </c>
      <c r="AH144" s="336">
        <v>6</v>
      </c>
      <c r="AI144" s="339">
        <v>5015.98837396</v>
      </c>
      <c r="AJ144" s="340">
        <f t="shared" si="7"/>
        <v>0.11515124825436179</v>
      </c>
      <c r="AK144" s="340" t="str">
        <f t="shared" si="8"/>
        <v>SLR Adjacent</v>
      </c>
    </row>
    <row r="145" spans="1:40">
      <c r="A145" s="336">
        <v>1080</v>
      </c>
      <c r="B145" s="336" t="s">
        <v>956</v>
      </c>
      <c r="C145" s="336" t="s">
        <v>956</v>
      </c>
      <c r="D145" s="336" t="s">
        <v>957</v>
      </c>
      <c r="E145" s="336" t="s">
        <v>958</v>
      </c>
      <c r="F145" s="336"/>
      <c r="G145" s="337">
        <v>0</v>
      </c>
      <c r="H145" s="336" t="s">
        <v>687</v>
      </c>
      <c r="I145" s="336" t="s">
        <v>294</v>
      </c>
      <c r="J145" s="336" t="s">
        <v>959</v>
      </c>
      <c r="K145" s="336"/>
      <c r="L145" s="336" t="s">
        <v>369</v>
      </c>
      <c r="M145" s="336" t="s">
        <v>370</v>
      </c>
      <c r="N145" s="336">
        <v>141700</v>
      </c>
      <c r="O145" s="336">
        <v>308300</v>
      </c>
      <c r="P145" s="336">
        <v>0</v>
      </c>
      <c r="Q145" s="336" t="s">
        <v>298</v>
      </c>
      <c r="R145" s="336">
        <v>1</v>
      </c>
      <c r="S145" s="336">
        <v>1</v>
      </c>
      <c r="T145" s="336"/>
      <c r="U145" s="336">
        <v>0</v>
      </c>
      <c r="V145" s="336">
        <v>2</v>
      </c>
      <c r="W145" s="336">
        <v>4</v>
      </c>
      <c r="X145" s="336">
        <v>2400</v>
      </c>
      <c r="Y145" s="336" t="s">
        <v>517</v>
      </c>
      <c r="Z145" s="336" t="str">
        <f t="shared" si="6"/>
        <v>Duplex, Triplex, Fourplex</v>
      </c>
      <c r="AA145" s="336" t="s">
        <v>300</v>
      </c>
      <c r="AB145" s="336" t="s">
        <v>301</v>
      </c>
      <c r="AC145" s="336" t="s">
        <v>359</v>
      </c>
      <c r="AD145" s="336" t="s">
        <v>678</v>
      </c>
      <c r="AE145" s="337">
        <v>-9999</v>
      </c>
      <c r="AF145" s="338">
        <v>10</v>
      </c>
      <c r="AG145" s="336">
        <v>10</v>
      </c>
      <c r="AH145" s="336">
        <v>6</v>
      </c>
      <c r="AI145" s="339">
        <v>4943.8012392299997</v>
      </c>
      <c r="AJ145" s="340">
        <f t="shared" si="7"/>
        <v>0.11349405967011018</v>
      </c>
      <c r="AK145" s="340" t="str">
        <f t="shared" si="8"/>
        <v>SLR Adjacent</v>
      </c>
    </row>
    <row r="146" spans="1:40">
      <c r="A146" s="336">
        <v>980</v>
      </c>
      <c r="B146" s="336" t="s">
        <v>960</v>
      </c>
      <c r="C146" s="336" t="s">
        <v>960</v>
      </c>
      <c r="D146" s="336" t="s">
        <v>961</v>
      </c>
      <c r="E146" s="336" t="s">
        <v>962</v>
      </c>
      <c r="F146" s="336"/>
      <c r="G146" s="337">
        <v>4.3999999999999997E-2</v>
      </c>
      <c r="H146" s="336" t="s">
        <v>963</v>
      </c>
      <c r="I146" s="336" t="s">
        <v>294</v>
      </c>
      <c r="J146" s="336"/>
      <c r="K146" s="336"/>
      <c r="L146" s="336" t="s">
        <v>408</v>
      </c>
      <c r="M146" s="336" t="s">
        <v>409</v>
      </c>
      <c r="N146" s="336">
        <v>5796</v>
      </c>
      <c r="O146" s="336">
        <v>0</v>
      </c>
      <c r="P146" s="336">
        <v>0</v>
      </c>
      <c r="Q146" s="336" t="s">
        <v>298</v>
      </c>
      <c r="R146" s="336">
        <v>1</v>
      </c>
      <c r="S146" s="336">
        <v>1</v>
      </c>
      <c r="T146" s="336"/>
      <c r="U146" s="336">
        <v>0</v>
      </c>
      <c r="V146" s="336">
        <v>0</v>
      </c>
      <c r="W146" s="336">
        <v>0</v>
      </c>
      <c r="X146" s="336">
        <v>0</v>
      </c>
      <c r="Y146" s="336" t="s">
        <v>88</v>
      </c>
      <c r="Z146" s="336" t="str">
        <f t="shared" si="6"/>
        <v>Vacant Multi Family</v>
      </c>
      <c r="AA146" s="336" t="s">
        <v>300</v>
      </c>
      <c r="AB146" s="336" t="s">
        <v>301</v>
      </c>
      <c r="AC146" s="336" t="s">
        <v>351</v>
      </c>
      <c r="AD146" s="336" t="s">
        <v>678</v>
      </c>
      <c r="AE146" s="337">
        <v>-9999</v>
      </c>
      <c r="AF146" s="338">
        <v>10</v>
      </c>
      <c r="AG146" s="336">
        <v>10</v>
      </c>
      <c r="AH146" s="336">
        <v>6</v>
      </c>
      <c r="AI146" s="339">
        <v>1777.3952708100001</v>
      </c>
      <c r="AJ146" s="340">
        <f t="shared" si="7"/>
        <v>4.0803380872589536E-2</v>
      </c>
      <c r="AK146" s="340" t="str">
        <f t="shared" si="8"/>
        <v>SLR Adjacent</v>
      </c>
    </row>
    <row r="147" spans="1:40">
      <c r="A147" s="336">
        <v>985</v>
      </c>
      <c r="B147" s="336" t="s">
        <v>964</v>
      </c>
      <c r="C147" s="336" t="s">
        <v>964</v>
      </c>
      <c r="D147" s="336" t="s">
        <v>965</v>
      </c>
      <c r="E147" s="336" t="s">
        <v>966</v>
      </c>
      <c r="F147" s="336" t="s">
        <v>579</v>
      </c>
      <c r="G147" s="337">
        <v>0</v>
      </c>
      <c r="H147" s="336" t="s">
        <v>702</v>
      </c>
      <c r="I147" s="336" t="s">
        <v>294</v>
      </c>
      <c r="J147" s="336" t="s">
        <v>967</v>
      </c>
      <c r="K147" s="336"/>
      <c r="L147" s="336" t="s">
        <v>369</v>
      </c>
      <c r="M147" s="336" t="s">
        <v>704</v>
      </c>
      <c r="N147" s="336">
        <v>5527</v>
      </c>
      <c r="O147" s="336">
        <v>0</v>
      </c>
      <c r="P147" s="336">
        <v>0</v>
      </c>
      <c r="Q147" s="336" t="s">
        <v>298</v>
      </c>
      <c r="R147" s="336">
        <v>0</v>
      </c>
      <c r="S147" s="336">
        <v>0</v>
      </c>
      <c r="T147" s="336"/>
      <c r="U147" s="336">
        <v>0</v>
      </c>
      <c r="V147" s="336">
        <v>0</v>
      </c>
      <c r="W147" s="336">
        <v>0</v>
      </c>
      <c r="X147" s="336">
        <v>0</v>
      </c>
      <c r="Y147" s="336" t="s">
        <v>88</v>
      </c>
      <c r="Z147" s="336" t="str">
        <f t="shared" si="6"/>
        <v>Vacant Multi Family</v>
      </c>
      <c r="AA147" s="336" t="s">
        <v>300</v>
      </c>
      <c r="AB147" s="336" t="s">
        <v>301</v>
      </c>
      <c r="AC147" s="336" t="s">
        <v>351</v>
      </c>
      <c r="AD147" s="336" t="s">
        <v>678</v>
      </c>
      <c r="AE147" s="337">
        <v>-9999</v>
      </c>
      <c r="AF147" s="338">
        <v>10</v>
      </c>
      <c r="AG147" s="336">
        <v>10</v>
      </c>
      <c r="AH147" s="336">
        <v>6</v>
      </c>
      <c r="AI147" s="339">
        <v>4997.7076982299996</v>
      </c>
      <c r="AJ147" s="340">
        <f t="shared" si="7"/>
        <v>0.11473158168572084</v>
      </c>
      <c r="AK147" s="340" t="str">
        <f t="shared" si="8"/>
        <v>SLR Adjacent</v>
      </c>
    </row>
    <row r="148" spans="1:40">
      <c r="A148" s="336">
        <v>989</v>
      </c>
      <c r="B148" s="336" t="s">
        <v>968</v>
      </c>
      <c r="C148" s="336" t="s">
        <v>968</v>
      </c>
      <c r="D148" s="336" t="s">
        <v>969</v>
      </c>
      <c r="E148" s="336" t="s">
        <v>970</v>
      </c>
      <c r="F148" s="336"/>
      <c r="G148" s="337">
        <v>0</v>
      </c>
      <c r="H148" s="336" t="s">
        <v>745</v>
      </c>
      <c r="I148" s="336" t="s">
        <v>294</v>
      </c>
      <c r="J148" s="336" t="s">
        <v>971</v>
      </c>
      <c r="K148" s="336"/>
      <c r="L148" s="336" t="s">
        <v>369</v>
      </c>
      <c r="M148" s="336" t="s">
        <v>704</v>
      </c>
      <c r="N148" s="336">
        <v>4970</v>
      </c>
      <c r="O148" s="336">
        <v>0</v>
      </c>
      <c r="P148" s="336">
        <v>0</v>
      </c>
      <c r="Q148" s="336" t="s">
        <v>298</v>
      </c>
      <c r="R148" s="336">
        <v>1</v>
      </c>
      <c r="S148" s="336">
        <v>1</v>
      </c>
      <c r="T148" s="336"/>
      <c r="U148" s="336">
        <v>0</v>
      </c>
      <c r="V148" s="336">
        <v>0</v>
      </c>
      <c r="W148" s="336">
        <v>0</v>
      </c>
      <c r="X148" s="336">
        <v>0</v>
      </c>
      <c r="Y148" s="336" t="s">
        <v>88</v>
      </c>
      <c r="Z148" s="336" t="str">
        <f t="shared" si="6"/>
        <v>Vacant Multi Family</v>
      </c>
      <c r="AA148" s="336" t="s">
        <v>300</v>
      </c>
      <c r="AB148" s="336" t="s">
        <v>301</v>
      </c>
      <c r="AC148" s="336" t="s">
        <v>351</v>
      </c>
      <c r="AD148" s="336" t="s">
        <v>678</v>
      </c>
      <c r="AE148" s="337">
        <v>-9999</v>
      </c>
      <c r="AF148" s="338">
        <v>10</v>
      </c>
      <c r="AG148" s="336">
        <v>10</v>
      </c>
      <c r="AH148" s="336">
        <v>6</v>
      </c>
      <c r="AI148" s="339">
        <v>4994.3440324599997</v>
      </c>
      <c r="AJ148" s="340">
        <f t="shared" si="7"/>
        <v>0.11465436254499541</v>
      </c>
      <c r="AK148" s="340" t="str">
        <f t="shared" si="8"/>
        <v>SLR Adjacent</v>
      </c>
    </row>
    <row r="149" spans="1:40">
      <c r="A149" s="336">
        <v>1020</v>
      </c>
      <c r="B149" s="336" t="s">
        <v>972</v>
      </c>
      <c r="C149" s="336" t="s">
        <v>972</v>
      </c>
      <c r="D149" s="336" t="s">
        <v>973</v>
      </c>
      <c r="E149" s="336" t="s">
        <v>974</v>
      </c>
      <c r="F149" s="336"/>
      <c r="G149" s="337">
        <v>0</v>
      </c>
      <c r="H149" s="336" t="s">
        <v>933</v>
      </c>
      <c r="I149" s="336" t="s">
        <v>294</v>
      </c>
      <c r="J149" s="336"/>
      <c r="K149" s="336"/>
      <c r="L149" s="336" t="s">
        <v>369</v>
      </c>
      <c r="M149" s="336" t="s">
        <v>370</v>
      </c>
      <c r="N149" s="336">
        <v>233000</v>
      </c>
      <c r="O149" s="336">
        <v>0</v>
      </c>
      <c r="P149" s="336">
        <v>0</v>
      </c>
      <c r="Q149" s="336" t="s">
        <v>298</v>
      </c>
      <c r="R149" s="336">
        <v>1</v>
      </c>
      <c r="S149" s="336">
        <v>1</v>
      </c>
      <c r="T149" s="336"/>
      <c r="U149" s="336">
        <v>0</v>
      </c>
      <c r="V149" s="336">
        <v>0</v>
      </c>
      <c r="W149" s="336">
        <v>0</v>
      </c>
      <c r="X149" s="336">
        <v>0</v>
      </c>
      <c r="Y149" s="336" t="s">
        <v>88</v>
      </c>
      <c r="Z149" s="336" t="str">
        <f t="shared" si="6"/>
        <v>Vacant Multi Family</v>
      </c>
      <c r="AA149" s="336" t="s">
        <v>300</v>
      </c>
      <c r="AB149" s="336" t="s">
        <v>301</v>
      </c>
      <c r="AC149" s="336" t="s">
        <v>359</v>
      </c>
      <c r="AD149" s="336" t="s">
        <v>678</v>
      </c>
      <c r="AE149" s="337">
        <v>-9999</v>
      </c>
      <c r="AF149" s="338">
        <v>10</v>
      </c>
      <c r="AG149" s="336">
        <v>10</v>
      </c>
      <c r="AH149" s="336">
        <v>6</v>
      </c>
      <c r="AI149" s="339">
        <v>8076.9216080400001</v>
      </c>
      <c r="AJ149" s="340">
        <f t="shared" si="7"/>
        <v>0.18542060624517906</v>
      </c>
      <c r="AK149" s="340" t="str">
        <f t="shared" si="8"/>
        <v>SLR Adjacent</v>
      </c>
    </row>
    <row r="150" spans="1:40">
      <c r="A150" s="336">
        <v>1023</v>
      </c>
      <c r="B150" s="336" t="s">
        <v>975</v>
      </c>
      <c r="C150" s="336" t="s">
        <v>975</v>
      </c>
      <c r="D150" s="336" t="s">
        <v>976</v>
      </c>
      <c r="E150" s="336" t="s">
        <v>977</v>
      </c>
      <c r="F150" s="336"/>
      <c r="G150" s="337">
        <v>0.46700000000000003</v>
      </c>
      <c r="H150" s="336" t="s">
        <v>933</v>
      </c>
      <c r="I150" s="336" t="s">
        <v>294</v>
      </c>
      <c r="J150" s="336"/>
      <c r="K150" s="336"/>
      <c r="L150" s="336" t="s">
        <v>369</v>
      </c>
      <c r="M150" s="336" t="s">
        <v>370</v>
      </c>
      <c r="N150" s="336">
        <v>77623</v>
      </c>
      <c r="O150" s="336">
        <v>0</v>
      </c>
      <c r="P150" s="336">
        <v>0</v>
      </c>
      <c r="Q150" s="336" t="s">
        <v>298</v>
      </c>
      <c r="R150" s="336">
        <v>1</v>
      </c>
      <c r="S150" s="336">
        <v>1</v>
      </c>
      <c r="T150" s="336"/>
      <c r="U150" s="336">
        <v>0</v>
      </c>
      <c r="V150" s="336">
        <v>0</v>
      </c>
      <c r="W150" s="336">
        <v>0</v>
      </c>
      <c r="X150" s="336">
        <v>0</v>
      </c>
      <c r="Y150" s="336" t="s">
        <v>88</v>
      </c>
      <c r="Z150" s="336" t="str">
        <f t="shared" si="6"/>
        <v>Vacant Multi Family</v>
      </c>
      <c r="AA150" s="336" t="s">
        <v>300</v>
      </c>
      <c r="AB150" s="336" t="s">
        <v>301</v>
      </c>
      <c r="AC150" s="336" t="s">
        <v>359</v>
      </c>
      <c r="AD150" s="336" t="s">
        <v>678</v>
      </c>
      <c r="AE150" s="337">
        <v>-9999</v>
      </c>
      <c r="AF150" s="338">
        <v>10</v>
      </c>
      <c r="AG150" s="336">
        <v>10</v>
      </c>
      <c r="AH150" s="336">
        <v>6</v>
      </c>
      <c r="AI150" s="339">
        <v>20346.8361252</v>
      </c>
      <c r="AJ150" s="340">
        <f t="shared" si="7"/>
        <v>0.46709908460055094</v>
      </c>
      <c r="AK150" s="340" t="str">
        <f t="shared" si="8"/>
        <v>SLR Adjacent</v>
      </c>
    </row>
    <row r="151" spans="1:40">
      <c r="A151" s="336">
        <v>1024</v>
      </c>
      <c r="B151" s="336" t="s">
        <v>978</v>
      </c>
      <c r="C151" s="336" t="s">
        <v>978</v>
      </c>
      <c r="D151" s="336" t="s">
        <v>976</v>
      </c>
      <c r="E151" s="336" t="s">
        <v>979</v>
      </c>
      <c r="F151" s="336"/>
      <c r="G151" s="337">
        <v>0.121</v>
      </c>
      <c r="H151" s="336" t="s">
        <v>933</v>
      </c>
      <c r="I151" s="336" t="s">
        <v>294</v>
      </c>
      <c r="J151" s="336"/>
      <c r="K151" s="336"/>
      <c r="L151" s="336" t="s">
        <v>369</v>
      </c>
      <c r="M151" s="336" t="s">
        <v>370</v>
      </c>
      <c r="N151" s="336">
        <v>22936</v>
      </c>
      <c r="O151" s="336">
        <v>0</v>
      </c>
      <c r="P151" s="336">
        <v>0</v>
      </c>
      <c r="Q151" s="336" t="s">
        <v>298</v>
      </c>
      <c r="R151" s="336">
        <v>1</v>
      </c>
      <c r="S151" s="336">
        <v>1</v>
      </c>
      <c r="T151" s="336"/>
      <c r="U151" s="336">
        <v>0</v>
      </c>
      <c r="V151" s="336">
        <v>0</v>
      </c>
      <c r="W151" s="336">
        <v>0</v>
      </c>
      <c r="X151" s="336">
        <v>0</v>
      </c>
      <c r="Y151" s="336" t="s">
        <v>88</v>
      </c>
      <c r="Z151" s="336" t="str">
        <f t="shared" si="6"/>
        <v>Vacant Multi Family</v>
      </c>
      <c r="AA151" s="336" t="s">
        <v>300</v>
      </c>
      <c r="AB151" s="336" t="s">
        <v>301</v>
      </c>
      <c r="AC151" s="336" t="s">
        <v>359</v>
      </c>
      <c r="AD151" s="336" t="s">
        <v>678</v>
      </c>
      <c r="AE151" s="337">
        <v>-9999</v>
      </c>
      <c r="AF151" s="338">
        <v>10</v>
      </c>
      <c r="AG151" s="336">
        <v>10</v>
      </c>
      <c r="AH151" s="336">
        <v>6</v>
      </c>
      <c r="AI151" s="339">
        <v>5278.0325212600001</v>
      </c>
      <c r="AJ151" s="340">
        <f t="shared" si="7"/>
        <v>0.12116695411524335</v>
      </c>
      <c r="AK151" s="340" t="str">
        <f t="shared" si="8"/>
        <v>SLR Adjacent</v>
      </c>
    </row>
    <row r="152" spans="1:40">
      <c r="A152" s="336">
        <v>1025</v>
      </c>
      <c r="B152" s="336" t="s">
        <v>980</v>
      </c>
      <c r="C152" s="336" t="s">
        <v>980</v>
      </c>
      <c r="D152" s="336" t="s">
        <v>976</v>
      </c>
      <c r="E152" s="336" t="s">
        <v>981</v>
      </c>
      <c r="F152" s="336"/>
      <c r="G152" s="337">
        <v>0.13200000000000001</v>
      </c>
      <c r="H152" s="336" t="s">
        <v>933</v>
      </c>
      <c r="I152" s="336" t="s">
        <v>294</v>
      </c>
      <c r="J152" s="336"/>
      <c r="K152" s="336"/>
      <c r="L152" s="336" t="s">
        <v>369</v>
      </c>
      <c r="M152" s="336" t="s">
        <v>370</v>
      </c>
      <c r="N152" s="336">
        <v>22936</v>
      </c>
      <c r="O152" s="336">
        <v>0</v>
      </c>
      <c r="P152" s="336">
        <v>0</v>
      </c>
      <c r="Q152" s="336" t="s">
        <v>298</v>
      </c>
      <c r="R152" s="336">
        <v>1</v>
      </c>
      <c r="S152" s="336">
        <v>1</v>
      </c>
      <c r="T152" s="336"/>
      <c r="U152" s="336">
        <v>0</v>
      </c>
      <c r="V152" s="336">
        <v>0</v>
      </c>
      <c r="W152" s="336">
        <v>0</v>
      </c>
      <c r="X152" s="336">
        <v>0</v>
      </c>
      <c r="Y152" s="336" t="s">
        <v>88</v>
      </c>
      <c r="Z152" s="336" t="str">
        <f t="shared" si="6"/>
        <v>Vacant Multi Family</v>
      </c>
      <c r="AA152" s="336" t="s">
        <v>300</v>
      </c>
      <c r="AB152" s="336" t="s">
        <v>301</v>
      </c>
      <c r="AC152" s="336" t="s">
        <v>359</v>
      </c>
      <c r="AD152" s="336" t="s">
        <v>678</v>
      </c>
      <c r="AE152" s="337">
        <v>-9999</v>
      </c>
      <c r="AF152" s="338">
        <v>10</v>
      </c>
      <c r="AG152" s="336">
        <v>10</v>
      </c>
      <c r="AH152" s="336">
        <v>6</v>
      </c>
      <c r="AI152" s="339">
        <v>5690.3754595600003</v>
      </c>
      <c r="AJ152" s="340">
        <f t="shared" si="7"/>
        <v>0.13063304544444446</v>
      </c>
      <c r="AK152" s="340" t="str">
        <f t="shared" si="8"/>
        <v>SLR Adjacent</v>
      </c>
    </row>
    <row r="153" spans="1:40">
      <c r="A153" s="336">
        <v>1026</v>
      </c>
      <c r="B153" s="336" t="s">
        <v>982</v>
      </c>
      <c r="C153" s="336" t="s">
        <v>982</v>
      </c>
      <c r="D153" s="336" t="s">
        <v>976</v>
      </c>
      <c r="E153" s="336" t="s">
        <v>983</v>
      </c>
      <c r="F153" s="336"/>
      <c r="G153" s="337">
        <v>0.13200000000000001</v>
      </c>
      <c r="H153" s="336" t="s">
        <v>933</v>
      </c>
      <c r="I153" s="336" t="s">
        <v>294</v>
      </c>
      <c r="J153" s="336"/>
      <c r="K153" s="336"/>
      <c r="L153" s="336" t="s">
        <v>369</v>
      </c>
      <c r="M153" s="336" t="s">
        <v>370</v>
      </c>
      <c r="N153" s="336">
        <v>22936</v>
      </c>
      <c r="O153" s="336">
        <v>0</v>
      </c>
      <c r="P153" s="336">
        <v>0</v>
      </c>
      <c r="Q153" s="336" t="s">
        <v>298</v>
      </c>
      <c r="R153" s="336">
        <v>1</v>
      </c>
      <c r="S153" s="336">
        <v>1</v>
      </c>
      <c r="T153" s="336"/>
      <c r="U153" s="336">
        <v>0</v>
      </c>
      <c r="V153" s="336">
        <v>0</v>
      </c>
      <c r="W153" s="336">
        <v>0</v>
      </c>
      <c r="X153" s="336">
        <v>0</v>
      </c>
      <c r="Y153" s="336" t="s">
        <v>88</v>
      </c>
      <c r="Z153" s="336" t="str">
        <f t="shared" si="6"/>
        <v>Vacant Multi Family</v>
      </c>
      <c r="AA153" s="336" t="s">
        <v>300</v>
      </c>
      <c r="AB153" s="336" t="s">
        <v>301</v>
      </c>
      <c r="AC153" s="336" t="s">
        <v>359</v>
      </c>
      <c r="AD153" s="336" t="s">
        <v>678</v>
      </c>
      <c r="AE153" s="337">
        <v>-9999</v>
      </c>
      <c r="AF153" s="338">
        <v>10</v>
      </c>
      <c r="AG153" s="336">
        <v>10</v>
      </c>
      <c r="AH153" s="336">
        <v>6</v>
      </c>
      <c r="AI153" s="339">
        <v>5815.3169756200004</v>
      </c>
      <c r="AJ153" s="340">
        <f t="shared" si="7"/>
        <v>0.13350130798025714</v>
      </c>
      <c r="AK153" s="340" t="str">
        <f t="shared" si="8"/>
        <v>SLR Adjacent</v>
      </c>
    </row>
    <row r="154" spans="1:40">
      <c r="A154" s="336">
        <v>1027</v>
      </c>
      <c r="B154" s="336" t="s">
        <v>984</v>
      </c>
      <c r="C154" s="336" t="s">
        <v>984</v>
      </c>
      <c r="D154" s="336" t="s">
        <v>976</v>
      </c>
      <c r="E154" s="336" t="s">
        <v>985</v>
      </c>
      <c r="F154" s="336"/>
      <c r="G154" s="337">
        <v>0.13300000000000001</v>
      </c>
      <c r="H154" s="336" t="s">
        <v>933</v>
      </c>
      <c r="I154" s="336" t="s">
        <v>294</v>
      </c>
      <c r="J154" s="336"/>
      <c r="K154" s="336"/>
      <c r="L154" s="336" t="s">
        <v>369</v>
      </c>
      <c r="M154" s="336" t="s">
        <v>370</v>
      </c>
      <c r="N154" s="336">
        <v>22936</v>
      </c>
      <c r="O154" s="336">
        <v>0</v>
      </c>
      <c r="P154" s="336">
        <v>0</v>
      </c>
      <c r="Q154" s="336" t="s">
        <v>298</v>
      </c>
      <c r="R154" s="336">
        <v>1</v>
      </c>
      <c r="S154" s="336">
        <v>1</v>
      </c>
      <c r="T154" s="336"/>
      <c r="U154" s="336">
        <v>0</v>
      </c>
      <c r="V154" s="336">
        <v>0</v>
      </c>
      <c r="W154" s="336">
        <v>0</v>
      </c>
      <c r="X154" s="336">
        <v>0</v>
      </c>
      <c r="Y154" s="336" t="s">
        <v>88</v>
      </c>
      <c r="Z154" s="336" t="str">
        <f t="shared" si="6"/>
        <v>Vacant Multi Family</v>
      </c>
      <c r="AA154" s="336" t="s">
        <v>300</v>
      </c>
      <c r="AB154" s="336" t="s">
        <v>301</v>
      </c>
      <c r="AC154" s="336" t="s">
        <v>359</v>
      </c>
      <c r="AD154" s="336" t="s">
        <v>678</v>
      </c>
      <c r="AE154" s="337">
        <v>-9999</v>
      </c>
      <c r="AF154" s="338">
        <v>10</v>
      </c>
      <c r="AG154" s="336">
        <v>10</v>
      </c>
      <c r="AH154" s="336">
        <v>6</v>
      </c>
      <c r="AI154" s="339">
        <v>5792.9961324699998</v>
      </c>
      <c r="AJ154" s="340">
        <f t="shared" si="7"/>
        <v>0.13298889192998162</v>
      </c>
      <c r="AK154" s="340" t="str">
        <f t="shared" si="8"/>
        <v>SLR Adjacent</v>
      </c>
    </row>
    <row r="155" spans="1:40">
      <c r="A155" s="342">
        <v>1818</v>
      </c>
      <c r="B155" s="342" t="s">
        <v>986</v>
      </c>
      <c r="C155" s="342" t="s">
        <v>986</v>
      </c>
      <c r="D155" s="342" t="s">
        <v>987</v>
      </c>
      <c r="E155" s="342" t="s">
        <v>988</v>
      </c>
      <c r="F155" s="342"/>
      <c r="G155" s="343">
        <v>0</v>
      </c>
      <c r="H155" s="342" t="s">
        <v>989</v>
      </c>
      <c r="I155" s="342" t="s">
        <v>406</v>
      </c>
      <c r="J155" s="342" t="s">
        <v>990</v>
      </c>
      <c r="K155" s="342" t="s">
        <v>186</v>
      </c>
      <c r="L155" s="342" t="s">
        <v>369</v>
      </c>
      <c r="M155" s="342" t="s">
        <v>704</v>
      </c>
      <c r="N155" s="342">
        <v>171270</v>
      </c>
      <c r="O155" s="342">
        <v>203532</v>
      </c>
      <c r="P155" s="342">
        <v>0</v>
      </c>
      <c r="Q155" s="342" t="s">
        <v>423</v>
      </c>
      <c r="R155" s="342">
        <v>1</v>
      </c>
      <c r="S155" s="342">
        <v>1</v>
      </c>
      <c r="T155" s="342" t="s">
        <v>991</v>
      </c>
      <c r="U155" s="342">
        <v>1200</v>
      </c>
      <c r="V155" s="342">
        <v>0</v>
      </c>
      <c r="W155" s="344" t="s">
        <v>26</v>
      </c>
      <c r="X155" s="342">
        <v>0</v>
      </c>
      <c r="Y155" s="342" t="s">
        <v>247</v>
      </c>
      <c r="Z155" s="342" t="str">
        <f>Y155</f>
        <v>Condos, cooperatives (-1 Single Family) (-2 Rossmoor)</v>
      </c>
      <c r="AA155" s="342" t="s">
        <v>300</v>
      </c>
      <c r="AB155" s="342" t="s">
        <v>301</v>
      </c>
      <c r="AC155" s="342" t="s">
        <v>351</v>
      </c>
      <c r="AD155" s="342" t="s">
        <v>678</v>
      </c>
      <c r="AE155" s="343">
        <v>-9999</v>
      </c>
      <c r="AF155" s="345">
        <v>10</v>
      </c>
      <c r="AG155" s="342">
        <v>0</v>
      </c>
      <c r="AH155" s="342">
        <v>10</v>
      </c>
      <c r="AI155" s="346">
        <v>1158.9250165599999</v>
      </c>
      <c r="AJ155" s="347">
        <f t="shared" si="7"/>
        <v>2.660525749678604E-2</v>
      </c>
      <c r="AK155" s="347" t="str">
        <f t="shared" si="8"/>
        <v>SLR not in FZ</v>
      </c>
      <c r="AN155" s="204"/>
    </row>
    <row r="156" spans="1:40">
      <c r="A156" s="342">
        <v>1819</v>
      </c>
      <c r="B156" s="342" t="s">
        <v>992</v>
      </c>
      <c r="C156" s="342" t="s">
        <v>992</v>
      </c>
      <c r="D156" s="342" t="s">
        <v>993</v>
      </c>
      <c r="E156" s="342" t="s">
        <v>994</v>
      </c>
      <c r="F156" s="342"/>
      <c r="G156" s="343">
        <v>0</v>
      </c>
      <c r="H156" s="342" t="s">
        <v>989</v>
      </c>
      <c r="I156" s="342" t="s">
        <v>406</v>
      </c>
      <c r="J156" s="342" t="s">
        <v>990</v>
      </c>
      <c r="K156" s="342" t="s">
        <v>995</v>
      </c>
      <c r="L156" s="342" t="s">
        <v>369</v>
      </c>
      <c r="M156" s="342" t="s">
        <v>704</v>
      </c>
      <c r="N156" s="342">
        <v>347088</v>
      </c>
      <c r="O156" s="342">
        <v>202912</v>
      </c>
      <c r="P156" s="342">
        <v>0</v>
      </c>
      <c r="Q156" s="342" t="s">
        <v>423</v>
      </c>
      <c r="R156" s="342">
        <v>1</v>
      </c>
      <c r="S156" s="342">
        <v>1</v>
      </c>
      <c r="T156" s="342" t="s">
        <v>996</v>
      </c>
      <c r="U156" s="342">
        <v>1200</v>
      </c>
      <c r="V156" s="342">
        <v>0</v>
      </c>
      <c r="W156" s="344" t="s">
        <v>26</v>
      </c>
      <c r="X156" s="342">
        <v>0</v>
      </c>
      <c r="Y156" s="342" t="s">
        <v>247</v>
      </c>
      <c r="Z156" s="342" t="str">
        <f>Y156</f>
        <v>Condos, cooperatives (-1 Single Family) (-2 Rossmoor)</v>
      </c>
      <c r="AA156" s="342" t="s">
        <v>300</v>
      </c>
      <c r="AB156" s="342" t="s">
        <v>301</v>
      </c>
      <c r="AC156" s="342" t="s">
        <v>351</v>
      </c>
      <c r="AD156" s="342" t="s">
        <v>678</v>
      </c>
      <c r="AE156" s="343">
        <v>-9999</v>
      </c>
      <c r="AF156" s="345">
        <v>10</v>
      </c>
      <c r="AG156" s="342">
        <v>0</v>
      </c>
      <c r="AH156" s="342">
        <v>10</v>
      </c>
      <c r="AI156" s="346">
        <v>1267.6122695399999</v>
      </c>
      <c r="AJ156" s="347">
        <f t="shared" si="7"/>
        <v>2.9100373497245178E-2</v>
      </c>
      <c r="AK156" s="347" t="str">
        <f t="shared" si="8"/>
        <v>SLR not in FZ</v>
      </c>
    </row>
    <row r="157" spans="1:40">
      <c r="A157" s="342">
        <v>1722</v>
      </c>
      <c r="B157" s="342" t="s">
        <v>997</v>
      </c>
      <c r="C157" s="342" t="s">
        <v>997</v>
      </c>
      <c r="D157" s="342" t="s">
        <v>998</v>
      </c>
      <c r="E157" s="342" t="s">
        <v>999</v>
      </c>
      <c r="F157" s="342"/>
      <c r="G157" s="343">
        <v>0</v>
      </c>
      <c r="H157" s="342" t="s">
        <v>1000</v>
      </c>
      <c r="I157" s="342" t="s">
        <v>1001</v>
      </c>
      <c r="J157" s="342" t="s">
        <v>917</v>
      </c>
      <c r="K157" s="342" t="s">
        <v>995</v>
      </c>
      <c r="L157" s="342" t="s">
        <v>369</v>
      </c>
      <c r="M157" s="342" t="s">
        <v>704</v>
      </c>
      <c r="N157" s="342">
        <v>393956</v>
      </c>
      <c r="O157" s="342">
        <v>316373</v>
      </c>
      <c r="P157" s="342">
        <v>0</v>
      </c>
      <c r="Q157" s="342" t="s">
        <v>423</v>
      </c>
      <c r="R157" s="342">
        <v>1</v>
      </c>
      <c r="S157" s="342">
        <v>1</v>
      </c>
      <c r="T157" s="342" t="s">
        <v>1002</v>
      </c>
      <c r="U157" s="342">
        <v>9800</v>
      </c>
      <c r="V157" s="342">
        <v>0</v>
      </c>
      <c r="W157" s="342">
        <v>2</v>
      </c>
      <c r="X157" s="342">
        <v>0</v>
      </c>
      <c r="Y157" s="342" t="s">
        <v>425</v>
      </c>
      <c r="Z157" s="342" t="str">
        <f t="shared" ref="Z157:Z165" si="9">IF(OR(Y157="Apartments, 5-12 units, inclusive", Y157="Apartments, 13-24 units, inclusive", Y157="Apartments, 25-59 units, inclusive", Y157="Apartments, 60 units or more"), "Apartments", IF(OR(Y157="Duplex", Y157="Triplex", Y157="Fourplex", Y157="Combinations; e.g., single and a double"),"Duplex, Triplex, Fourplex", "Vacant Multi Family"))</f>
        <v>Duplex, Triplex, Fourplex</v>
      </c>
      <c r="AA157" s="342" t="s">
        <v>300</v>
      </c>
      <c r="AB157" s="342" t="s">
        <v>301</v>
      </c>
      <c r="AC157" s="342" t="s">
        <v>351</v>
      </c>
      <c r="AD157" s="342" t="s">
        <v>678</v>
      </c>
      <c r="AE157" s="343">
        <v>-9999</v>
      </c>
      <c r="AF157" s="345">
        <v>10</v>
      </c>
      <c r="AG157" s="342">
        <v>0</v>
      </c>
      <c r="AH157" s="342">
        <v>10</v>
      </c>
      <c r="AI157" s="346">
        <v>10075.727313400001</v>
      </c>
      <c r="AJ157" s="347">
        <f t="shared" si="7"/>
        <v>0.23130687129017449</v>
      </c>
      <c r="AK157" s="347" t="str">
        <f t="shared" si="8"/>
        <v>SLR not in FZ</v>
      </c>
    </row>
    <row r="158" spans="1:40">
      <c r="A158" s="342">
        <v>1706</v>
      </c>
      <c r="B158" s="342" t="s">
        <v>1003</v>
      </c>
      <c r="C158" s="342" t="s">
        <v>1003</v>
      </c>
      <c r="D158" s="342" t="s">
        <v>1004</v>
      </c>
      <c r="E158" s="342" t="s">
        <v>1005</v>
      </c>
      <c r="F158" s="342"/>
      <c r="G158" s="343">
        <v>0</v>
      </c>
      <c r="H158" s="342" t="s">
        <v>989</v>
      </c>
      <c r="I158" s="342" t="s">
        <v>406</v>
      </c>
      <c r="J158" s="342"/>
      <c r="K158" s="342"/>
      <c r="L158" s="342" t="s">
        <v>369</v>
      </c>
      <c r="M158" s="342" t="s">
        <v>704</v>
      </c>
      <c r="N158" s="342">
        <v>23293</v>
      </c>
      <c r="O158" s="342">
        <v>0</v>
      </c>
      <c r="P158" s="342">
        <v>0</v>
      </c>
      <c r="Q158" s="342" t="s">
        <v>298</v>
      </c>
      <c r="R158" s="342">
        <v>1</v>
      </c>
      <c r="S158" s="342">
        <v>1</v>
      </c>
      <c r="T158" s="342"/>
      <c r="U158" s="342">
        <v>0</v>
      </c>
      <c r="V158" s="342">
        <v>0</v>
      </c>
      <c r="W158" s="342">
        <v>0</v>
      </c>
      <c r="X158" s="342">
        <v>0</v>
      </c>
      <c r="Y158" s="342" t="s">
        <v>88</v>
      </c>
      <c r="Z158" s="342" t="str">
        <f t="shared" si="9"/>
        <v>Vacant Multi Family</v>
      </c>
      <c r="AA158" s="342" t="s">
        <v>300</v>
      </c>
      <c r="AB158" s="342" t="s">
        <v>301</v>
      </c>
      <c r="AC158" s="342" t="s">
        <v>351</v>
      </c>
      <c r="AD158" s="342" t="s">
        <v>678</v>
      </c>
      <c r="AE158" s="343">
        <v>-9999</v>
      </c>
      <c r="AF158" s="345">
        <v>10</v>
      </c>
      <c r="AG158" s="342">
        <v>0</v>
      </c>
      <c r="AH158" s="342">
        <v>10</v>
      </c>
      <c r="AI158" s="346">
        <v>9449.4362179399996</v>
      </c>
      <c r="AJ158" s="347">
        <f t="shared" si="7"/>
        <v>0.21692920610514232</v>
      </c>
      <c r="AK158" s="347" t="str">
        <f t="shared" si="8"/>
        <v>SLR not in FZ</v>
      </c>
    </row>
    <row r="159" spans="1:40">
      <c r="A159" s="342">
        <v>1707</v>
      </c>
      <c r="B159" s="342" t="s">
        <v>1006</v>
      </c>
      <c r="C159" s="342" t="s">
        <v>1006</v>
      </c>
      <c r="D159" s="342" t="s">
        <v>1004</v>
      </c>
      <c r="E159" s="342" t="s">
        <v>1007</v>
      </c>
      <c r="F159" s="342"/>
      <c r="G159" s="343">
        <v>0</v>
      </c>
      <c r="H159" s="342" t="s">
        <v>989</v>
      </c>
      <c r="I159" s="342" t="s">
        <v>406</v>
      </c>
      <c r="J159" s="342"/>
      <c r="K159" s="342"/>
      <c r="L159" s="342" t="s">
        <v>369</v>
      </c>
      <c r="M159" s="342" t="s">
        <v>704</v>
      </c>
      <c r="N159" s="342">
        <v>23293</v>
      </c>
      <c r="O159" s="342">
        <v>0</v>
      </c>
      <c r="P159" s="342">
        <v>0</v>
      </c>
      <c r="Q159" s="342" t="s">
        <v>298</v>
      </c>
      <c r="R159" s="342">
        <v>1</v>
      </c>
      <c r="S159" s="342">
        <v>1</v>
      </c>
      <c r="T159" s="342"/>
      <c r="U159" s="342">
        <v>0</v>
      </c>
      <c r="V159" s="342">
        <v>0</v>
      </c>
      <c r="W159" s="342">
        <v>0</v>
      </c>
      <c r="X159" s="342">
        <v>0</v>
      </c>
      <c r="Y159" s="342" t="s">
        <v>88</v>
      </c>
      <c r="Z159" s="342" t="str">
        <f t="shared" si="9"/>
        <v>Vacant Multi Family</v>
      </c>
      <c r="AA159" s="342" t="s">
        <v>300</v>
      </c>
      <c r="AB159" s="342" t="s">
        <v>301</v>
      </c>
      <c r="AC159" s="342" t="s">
        <v>351</v>
      </c>
      <c r="AD159" s="342" t="s">
        <v>678</v>
      </c>
      <c r="AE159" s="343">
        <v>-9999</v>
      </c>
      <c r="AF159" s="345">
        <v>10</v>
      </c>
      <c r="AG159" s="342">
        <v>0</v>
      </c>
      <c r="AH159" s="342">
        <v>10</v>
      </c>
      <c r="AI159" s="346">
        <v>6326.2552626300003</v>
      </c>
      <c r="AJ159" s="347">
        <f t="shared" si="7"/>
        <v>0.14523083706680442</v>
      </c>
      <c r="AK159" s="347" t="str">
        <f t="shared" si="8"/>
        <v>SLR not in FZ</v>
      </c>
    </row>
    <row r="160" spans="1:40">
      <c r="A160" s="342">
        <v>429</v>
      </c>
      <c r="B160" s="342" t="s">
        <v>1008</v>
      </c>
      <c r="C160" s="342" t="s">
        <v>1008</v>
      </c>
      <c r="D160" s="342" t="s">
        <v>1009</v>
      </c>
      <c r="E160" s="342" t="s">
        <v>1010</v>
      </c>
      <c r="F160" s="342"/>
      <c r="G160" s="343">
        <v>0.14000000000000001</v>
      </c>
      <c r="H160" s="342" t="s">
        <v>388</v>
      </c>
      <c r="I160" s="342" t="s">
        <v>307</v>
      </c>
      <c r="J160" s="342" t="s">
        <v>1011</v>
      </c>
      <c r="K160" s="342"/>
      <c r="L160" s="342" t="s">
        <v>309</v>
      </c>
      <c r="M160" s="342" t="s">
        <v>310</v>
      </c>
      <c r="N160" s="342">
        <v>45915</v>
      </c>
      <c r="O160" s="342">
        <v>147184</v>
      </c>
      <c r="P160" s="342">
        <v>0</v>
      </c>
      <c r="Q160" s="342" t="s">
        <v>423</v>
      </c>
      <c r="R160" s="342">
        <v>1</v>
      </c>
      <c r="S160" s="342">
        <v>2</v>
      </c>
      <c r="T160" s="342"/>
      <c r="U160" s="342">
        <v>6098</v>
      </c>
      <c r="V160" s="342">
        <v>0</v>
      </c>
      <c r="W160" s="342">
        <v>2</v>
      </c>
      <c r="X160" s="342">
        <v>0</v>
      </c>
      <c r="Y160" s="342" t="s">
        <v>498</v>
      </c>
      <c r="Z160" s="342" t="str">
        <f t="shared" si="9"/>
        <v>Duplex, Triplex, Fourplex</v>
      </c>
      <c r="AA160" s="342" t="s">
        <v>300</v>
      </c>
      <c r="AB160" s="342" t="s">
        <v>301</v>
      </c>
      <c r="AC160" s="342" t="s">
        <v>359</v>
      </c>
      <c r="AD160" s="342" t="s">
        <v>678</v>
      </c>
      <c r="AE160" s="343">
        <v>-9999</v>
      </c>
      <c r="AF160" s="345">
        <v>10</v>
      </c>
      <c r="AG160" s="342">
        <v>3</v>
      </c>
      <c r="AH160" s="342">
        <v>10</v>
      </c>
      <c r="AI160" s="346">
        <v>7610.0239693800004</v>
      </c>
      <c r="AJ160" s="347">
        <f t="shared" si="7"/>
        <v>0.17470211132644628</v>
      </c>
      <c r="AK160" s="347" t="str">
        <f t="shared" si="8"/>
        <v>SLR not in FZ</v>
      </c>
    </row>
    <row r="161" spans="1:37">
      <c r="A161" s="342">
        <v>427</v>
      </c>
      <c r="B161" s="342" t="s">
        <v>1012</v>
      </c>
      <c r="C161" s="342" t="s">
        <v>1012</v>
      </c>
      <c r="D161" s="342" t="s">
        <v>1013</v>
      </c>
      <c r="E161" s="342" t="s">
        <v>1010</v>
      </c>
      <c r="F161" s="342"/>
      <c r="G161" s="343">
        <v>0.09</v>
      </c>
      <c r="H161" s="342" t="s">
        <v>388</v>
      </c>
      <c r="I161" s="342" t="s">
        <v>307</v>
      </c>
      <c r="J161" s="342" t="s">
        <v>1014</v>
      </c>
      <c r="K161" s="342"/>
      <c r="L161" s="342" t="s">
        <v>309</v>
      </c>
      <c r="M161" s="342" t="s">
        <v>310</v>
      </c>
      <c r="N161" s="342">
        <v>22275</v>
      </c>
      <c r="O161" s="342">
        <v>83323</v>
      </c>
      <c r="P161" s="342">
        <v>0</v>
      </c>
      <c r="Q161" s="342" t="s">
        <v>423</v>
      </c>
      <c r="R161" s="342">
        <v>1</v>
      </c>
      <c r="S161" s="342">
        <v>1</v>
      </c>
      <c r="T161" s="342" t="s">
        <v>489</v>
      </c>
      <c r="U161" s="342">
        <v>2700</v>
      </c>
      <c r="V161" s="342">
        <v>0</v>
      </c>
      <c r="W161" s="342">
        <v>2</v>
      </c>
      <c r="X161" s="342">
        <v>0</v>
      </c>
      <c r="Y161" s="342" t="s">
        <v>425</v>
      </c>
      <c r="Z161" s="342" t="str">
        <f t="shared" si="9"/>
        <v>Duplex, Triplex, Fourplex</v>
      </c>
      <c r="AA161" s="342" t="s">
        <v>300</v>
      </c>
      <c r="AB161" s="342" t="s">
        <v>301</v>
      </c>
      <c r="AC161" s="342" t="s">
        <v>359</v>
      </c>
      <c r="AD161" s="342" t="s">
        <v>678</v>
      </c>
      <c r="AE161" s="343">
        <v>-9999</v>
      </c>
      <c r="AF161" s="345">
        <v>10</v>
      </c>
      <c r="AG161" s="342">
        <v>3</v>
      </c>
      <c r="AH161" s="342">
        <v>10</v>
      </c>
      <c r="AI161" s="346">
        <v>2694.0531786800002</v>
      </c>
      <c r="AJ161" s="347">
        <f t="shared" si="7"/>
        <v>6.1846950842056936E-2</v>
      </c>
      <c r="AK161" s="347" t="str">
        <f t="shared" si="8"/>
        <v>SLR not in FZ</v>
      </c>
    </row>
    <row r="162" spans="1:37">
      <c r="A162" s="342">
        <v>428</v>
      </c>
      <c r="B162" s="342" t="s">
        <v>1015</v>
      </c>
      <c r="C162" s="342" t="s">
        <v>1015</v>
      </c>
      <c r="D162" s="342" t="s">
        <v>1016</v>
      </c>
      <c r="E162" s="342" t="s">
        <v>1010</v>
      </c>
      <c r="F162" s="342"/>
      <c r="G162" s="343">
        <v>0.25</v>
      </c>
      <c r="H162" s="342" t="s">
        <v>388</v>
      </c>
      <c r="I162" s="342" t="s">
        <v>307</v>
      </c>
      <c r="J162" s="342" t="s">
        <v>1017</v>
      </c>
      <c r="K162" s="342"/>
      <c r="L162" s="342" t="s">
        <v>309</v>
      </c>
      <c r="M162" s="342" t="s">
        <v>310</v>
      </c>
      <c r="N162" s="342">
        <v>25595</v>
      </c>
      <c r="O162" s="342">
        <v>33986</v>
      </c>
      <c r="P162" s="342">
        <v>0</v>
      </c>
      <c r="Q162" s="342" t="s">
        <v>298</v>
      </c>
      <c r="R162" s="342">
        <v>1</v>
      </c>
      <c r="S162" s="342">
        <v>1</v>
      </c>
      <c r="T162" s="342"/>
      <c r="U162" s="342">
        <v>0</v>
      </c>
      <c r="V162" s="342">
        <v>0</v>
      </c>
      <c r="W162" s="342">
        <v>3</v>
      </c>
      <c r="X162" s="342">
        <v>3322</v>
      </c>
      <c r="Y162" s="342" t="s">
        <v>503</v>
      </c>
      <c r="Z162" s="342" t="str">
        <f t="shared" si="9"/>
        <v>Duplex, Triplex, Fourplex</v>
      </c>
      <c r="AA162" s="342" t="s">
        <v>300</v>
      </c>
      <c r="AB162" s="342" t="s">
        <v>301</v>
      </c>
      <c r="AC162" s="342" t="s">
        <v>359</v>
      </c>
      <c r="AD162" s="342" t="s">
        <v>678</v>
      </c>
      <c r="AE162" s="343">
        <v>-9999</v>
      </c>
      <c r="AF162" s="345">
        <v>10</v>
      </c>
      <c r="AG162" s="342">
        <v>3</v>
      </c>
      <c r="AH162" s="342">
        <v>10</v>
      </c>
      <c r="AI162" s="346">
        <v>10992.114146600001</v>
      </c>
      <c r="AJ162" s="347">
        <f t="shared" si="7"/>
        <v>0.25234421824150599</v>
      </c>
      <c r="AK162" s="347" t="str">
        <f t="shared" si="8"/>
        <v>SLR not in FZ</v>
      </c>
    </row>
    <row r="163" spans="1:37">
      <c r="A163" s="342">
        <v>1206</v>
      </c>
      <c r="B163" s="342" t="s">
        <v>1018</v>
      </c>
      <c r="C163" s="342" t="s">
        <v>1018</v>
      </c>
      <c r="D163" s="342" t="s">
        <v>1019</v>
      </c>
      <c r="E163" s="342" t="s">
        <v>1020</v>
      </c>
      <c r="F163" s="342"/>
      <c r="G163" s="343">
        <v>12.3</v>
      </c>
      <c r="H163" s="342" t="s">
        <v>721</v>
      </c>
      <c r="I163" s="342" t="s">
        <v>569</v>
      </c>
      <c r="J163" s="342" t="s">
        <v>1021</v>
      </c>
      <c r="K163" s="342"/>
      <c r="L163" s="342" t="s">
        <v>369</v>
      </c>
      <c r="M163" s="342" t="s">
        <v>704</v>
      </c>
      <c r="N163" s="342">
        <v>1278874</v>
      </c>
      <c r="O163" s="342">
        <v>2608911</v>
      </c>
      <c r="P163" s="342">
        <v>0</v>
      </c>
      <c r="Q163" s="342" t="s">
        <v>298</v>
      </c>
      <c r="R163" s="342">
        <v>0</v>
      </c>
      <c r="S163" s="342">
        <v>51</v>
      </c>
      <c r="T163" s="342"/>
      <c r="U163" s="342">
        <v>0</v>
      </c>
      <c r="V163" s="342">
        <v>1</v>
      </c>
      <c r="W163" s="342">
        <v>100</v>
      </c>
      <c r="X163" s="342">
        <v>66624</v>
      </c>
      <c r="Y163" s="342" t="s">
        <v>415</v>
      </c>
      <c r="Z163" s="342" t="str">
        <f t="shared" si="9"/>
        <v>Apartments</v>
      </c>
      <c r="AA163" s="342" t="s">
        <v>300</v>
      </c>
      <c r="AB163" s="342" t="s">
        <v>301</v>
      </c>
      <c r="AC163" s="342" t="s">
        <v>351</v>
      </c>
      <c r="AD163" s="342" t="s">
        <v>678</v>
      </c>
      <c r="AE163" s="343">
        <v>-9999</v>
      </c>
      <c r="AF163" s="345">
        <v>10</v>
      </c>
      <c r="AG163" s="342">
        <v>4</v>
      </c>
      <c r="AH163" s="342">
        <v>6</v>
      </c>
      <c r="AI163" s="346">
        <v>536113.27077199996</v>
      </c>
      <c r="AJ163" s="347">
        <f t="shared" si="7"/>
        <v>12.307467189439851</v>
      </c>
      <c r="AK163" s="347" t="str">
        <f t="shared" si="8"/>
        <v>SLR not in FZ</v>
      </c>
    </row>
    <row r="164" spans="1:37">
      <c r="A164" s="342">
        <v>1452</v>
      </c>
      <c r="B164" s="342" t="s">
        <v>1022</v>
      </c>
      <c r="C164" s="342" t="s">
        <v>1022</v>
      </c>
      <c r="D164" s="342" t="s">
        <v>1023</v>
      </c>
      <c r="E164" s="342" t="s">
        <v>1024</v>
      </c>
      <c r="F164" s="342"/>
      <c r="G164" s="343">
        <v>0</v>
      </c>
      <c r="H164" s="342" t="s">
        <v>1025</v>
      </c>
      <c r="I164" s="342" t="s">
        <v>307</v>
      </c>
      <c r="J164" s="342" t="s">
        <v>1026</v>
      </c>
      <c r="K164" s="342"/>
      <c r="L164" s="342" t="s">
        <v>369</v>
      </c>
      <c r="M164" s="342" t="s">
        <v>370</v>
      </c>
      <c r="N164" s="342">
        <v>63938</v>
      </c>
      <c r="O164" s="342">
        <v>70330</v>
      </c>
      <c r="P164" s="342">
        <v>0</v>
      </c>
      <c r="Q164" s="342" t="s">
        <v>298</v>
      </c>
      <c r="R164" s="342">
        <v>1</v>
      </c>
      <c r="S164" s="342">
        <v>1</v>
      </c>
      <c r="T164" s="342"/>
      <c r="U164" s="342">
        <v>0</v>
      </c>
      <c r="V164" s="342">
        <v>2</v>
      </c>
      <c r="W164" s="342">
        <v>6</v>
      </c>
      <c r="X164" s="342">
        <v>4096</v>
      </c>
      <c r="Y164" s="342" t="s">
        <v>299</v>
      </c>
      <c r="Z164" s="342" t="str">
        <f t="shared" si="9"/>
        <v>Apartments</v>
      </c>
      <c r="AA164" s="342" t="s">
        <v>300</v>
      </c>
      <c r="AB164" s="342" t="s">
        <v>301</v>
      </c>
      <c r="AC164" s="342" t="s">
        <v>351</v>
      </c>
      <c r="AD164" s="342" t="s">
        <v>678</v>
      </c>
      <c r="AE164" s="343">
        <v>-9999</v>
      </c>
      <c r="AF164" s="345">
        <v>10</v>
      </c>
      <c r="AG164" s="342">
        <v>5</v>
      </c>
      <c r="AH164" s="342">
        <v>10</v>
      </c>
      <c r="AI164" s="346">
        <v>8519.1834401399992</v>
      </c>
      <c r="AJ164" s="347">
        <f t="shared" si="7"/>
        <v>0.19557354086639117</v>
      </c>
      <c r="AK164" s="347" t="str">
        <f t="shared" si="8"/>
        <v>SLR not in FZ</v>
      </c>
    </row>
    <row r="165" spans="1:37">
      <c r="A165" s="342">
        <v>481</v>
      </c>
      <c r="B165" s="342" t="s">
        <v>1027</v>
      </c>
      <c r="C165" s="342" t="s">
        <v>1027</v>
      </c>
      <c r="D165" s="342" t="s">
        <v>1028</v>
      </c>
      <c r="E165" s="342" t="s">
        <v>1029</v>
      </c>
      <c r="F165" s="342"/>
      <c r="G165" s="343">
        <v>1.03</v>
      </c>
      <c r="H165" s="342" t="s">
        <v>388</v>
      </c>
      <c r="I165" s="342" t="s">
        <v>307</v>
      </c>
      <c r="J165" s="342" t="s">
        <v>1030</v>
      </c>
      <c r="K165" s="342"/>
      <c r="L165" s="342" t="s">
        <v>309</v>
      </c>
      <c r="M165" s="342" t="s">
        <v>310</v>
      </c>
      <c r="N165" s="342">
        <v>1463172</v>
      </c>
      <c r="O165" s="342">
        <v>6906151</v>
      </c>
      <c r="P165" s="342">
        <v>0</v>
      </c>
      <c r="Q165" s="342" t="s">
        <v>298</v>
      </c>
      <c r="R165" s="342">
        <v>1</v>
      </c>
      <c r="S165" s="342">
        <v>1</v>
      </c>
      <c r="T165" s="342"/>
      <c r="U165" s="342">
        <v>0</v>
      </c>
      <c r="V165" s="342">
        <v>3</v>
      </c>
      <c r="W165" s="342">
        <v>49</v>
      </c>
      <c r="X165" s="342">
        <v>50447</v>
      </c>
      <c r="Y165" s="342" t="s">
        <v>410</v>
      </c>
      <c r="Z165" s="342" t="str">
        <f t="shared" si="9"/>
        <v>Apartments</v>
      </c>
      <c r="AA165" s="342" t="s">
        <v>300</v>
      </c>
      <c r="AB165" s="342" t="s">
        <v>301</v>
      </c>
      <c r="AC165" s="342" t="s">
        <v>351</v>
      </c>
      <c r="AD165" s="342" t="s">
        <v>678</v>
      </c>
      <c r="AE165" s="343">
        <v>-9999</v>
      </c>
      <c r="AF165" s="345">
        <v>10</v>
      </c>
      <c r="AG165" s="342">
        <v>5</v>
      </c>
      <c r="AH165" s="342">
        <v>10</v>
      </c>
      <c r="AI165" s="346">
        <v>44924.532036800003</v>
      </c>
      <c r="AJ165" s="347">
        <f t="shared" si="7"/>
        <v>1.0313253451974289</v>
      </c>
      <c r="AK165" s="347" t="str">
        <f t="shared" si="8"/>
        <v>SLR not in FZ</v>
      </c>
    </row>
    <row r="166" spans="1:37">
      <c r="A166" s="342">
        <v>1503</v>
      </c>
      <c r="B166" s="342" t="s">
        <v>1031</v>
      </c>
      <c r="C166" s="342" t="s">
        <v>1031</v>
      </c>
      <c r="D166" s="342" t="s">
        <v>1032</v>
      </c>
      <c r="E166" s="342" t="s">
        <v>1033</v>
      </c>
      <c r="F166" s="342"/>
      <c r="G166" s="343">
        <v>0</v>
      </c>
      <c r="H166" s="342" t="s">
        <v>1034</v>
      </c>
      <c r="I166" s="342" t="s">
        <v>569</v>
      </c>
      <c r="J166" s="342"/>
      <c r="K166" s="342"/>
      <c r="L166" s="342" t="s">
        <v>369</v>
      </c>
      <c r="M166" s="342" t="s">
        <v>704</v>
      </c>
      <c r="N166" s="342">
        <v>88944</v>
      </c>
      <c r="O166" s="342">
        <v>175029</v>
      </c>
      <c r="P166" s="342">
        <v>0</v>
      </c>
      <c r="Q166" s="342" t="s">
        <v>298</v>
      </c>
      <c r="R166" s="342">
        <v>1</v>
      </c>
      <c r="S166" s="342">
        <v>1</v>
      </c>
      <c r="T166" s="342"/>
      <c r="U166" s="342">
        <v>0</v>
      </c>
      <c r="V166" s="342">
        <v>0</v>
      </c>
      <c r="W166" s="344" t="s">
        <v>26</v>
      </c>
      <c r="X166" s="342">
        <v>3360</v>
      </c>
      <c r="Y166" s="342" t="s">
        <v>247</v>
      </c>
      <c r="Z166" s="342" t="str">
        <f>Y166</f>
        <v>Condos, cooperatives (-1 Single Family) (-2 Rossmoor)</v>
      </c>
      <c r="AA166" s="342" t="s">
        <v>300</v>
      </c>
      <c r="AB166" s="342" t="s">
        <v>301</v>
      </c>
      <c r="AC166" s="342" t="s">
        <v>351</v>
      </c>
      <c r="AD166" s="342" t="s">
        <v>678</v>
      </c>
      <c r="AE166" s="343">
        <v>-9999</v>
      </c>
      <c r="AF166" s="345">
        <v>10</v>
      </c>
      <c r="AG166" s="342">
        <v>5</v>
      </c>
      <c r="AH166" s="342">
        <v>10</v>
      </c>
      <c r="AI166" s="346">
        <v>3371.99357801</v>
      </c>
      <c r="AJ166" s="347">
        <f t="shared" si="7"/>
        <v>7.7410320890955009E-2</v>
      </c>
      <c r="AK166" s="347" t="str">
        <f t="shared" si="8"/>
        <v>SLR not in FZ</v>
      </c>
    </row>
    <row r="167" spans="1:37">
      <c r="A167" s="342">
        <v>1505</v>
      </c>
      <c r="B167" s="342" t="s">
        <v>1035</v>
      </c>
      <c r="C167" s="342" t="s">
        <v>1035</v>
      </c>
      <c r="D167" s="342" t="s">
        <v>1032</v>
      </c>
      <c r="E167" s="342" t="s">
        <v>1036</v>
      </c>
      <c r="F167" s="342"/>
      <c r="G167" s="343">
        <v>0</v>
      </c>
      <c r="H167" s="342" t="s">
        <v>1034</v>
      </c>
      <c r="I167" s="342" t="s">
        <v>569</v>
      </c>
      <c r="J167" s="342"/>
      <c r="K167" s="342"/>
      <c r="L167" s="342" t="s">
        <v>369</v>
      </c>
      <c r="M167" s="342" t="s">
        <v>704</v>
      </c>
      <c r="N167" s="342">
        <v>92598</v>
      </c>
      <c r="O167" s="342">
        <v>182218</v>
      </c>
      <c r="P167" s="342">
        <v>0</v>
      </c>
      <c r="Q167" s="342" t="s">
        <v>298</v>
      </c>
      <c r="R167" s="342">
        <v>1</v>
      </c>
      <c r="S167" s="342">
        <v>1</v>
      </c>
      <c r="T167" s="342"/>
      <c r="U167" s="342">
        <v>0</v>
      </c>
      <c r="V167" s="342">
        <v>0</v>
      </c>
      <c r="W167" s="344" t="s">
        <v>26</v>
      </c>
      <c r="X167" s="342">
        <v>3498</v>
      </c>
      <c r="Y167" s="342" t="s">
        <v>247</v>
      </c>
      <c r="Z167" s="342" t="str">
        <f>Y167</f>
        <v>Condos, cooperatives (-1 Single Family) (-2 Rossmoor)</v>
      </c>
      <c r="AA167" s="342" t="s">
        <v>300</v>
      </c>
      <c r="AB167" s="342" t="s">
        <v>301</v>
      </c>
      <c r="AC167" s="342" t="s">
        <v>351</v>
      </c>
      <c r="AD167" s="342" t="s">
        <v>678</v>
      </c>
      <c r="AE167" s="343">
        <v>-9999</v>
      </c>
      <c r="AF167" s="345">
        <v>10</v>
      </c>
      <c r="AG167" s="342">
        <v>5</v>
      </c>
      <c r="AH167" s="342">
        <v>10</v>
      </c>
      <c r="AI167" s="346">
        <v>3497.9691184600001</v>
      </c>
      <c r="AJ167" s="347">
        <f t="shared" si="7"/>
        <v>8.030232136042241E-2</v>
      </c>
      <c r="AK167" s="347" t="str">
        <f t="shared" si="8"/>
        <v>SLR not in FZ</v>
      </c>
    </row>
    <row r="168" spans="1:37">
      <c r="A168" s="342">
        <v>1507</v>
      </c>
      <c r="B168" s="342" t="s">
        <v>1037</v>
      </c>
      <c r="C168" s="342" t="s">
        <v>1037</v>
      </c>
      <c r="D168" s="342" t="s">
        <v>1032</v>
      </c>
      <c r="E168" s="342" t="s">
        <v>1038</v>
      </c>
      <c r="F168" s="342"/>
      <c r="G168" s="343">
        <v>0</v>
      </c>
      <c r="H168" s="342" t="s">
        <v>1034</v>
      </c>
      <c r="I168" s="342" t="s">
        <v>569</v>
      </c>
      <c r="J168" s="342"/>
      <c r="K168" s="342"/>
      <c r="L168" s="342" t="s">
        <v>369</v>
      </c>
      <c r="M168" s="342" t="s">
        <v>704</v>
      </c>
      <c r="N168" s="342">
        <v>137864</v>
      </c>
      <c r="O168" s="342">
        <v>271296</v>
      </c>
      <c r="P168" s="342">
        <v>0</v>
      </c>
      <c r="Q168" s="342" t="s">
        <v>298</v>
      </c>
      <c r="R168" s="342">
        <v>1</v>
      </c>
      <c r="S168" s="342">
        <v>1</v>
      </c>
      <c r="T168" s="342"/>
      <c r="U168" s="342">
        <v>0</v>
      </c>
      <c r="V168" s="342">
        <v>0</v>
      </c>
      <c r="W168" s="344" t="s">
        <v>26</v>
      </c>
      <c r="X168" s="342">
        <v>5208</v>
      </c>
      <c r="Y168" s="342" t="s">
        <v>247</v>
      </c>
      <c r="Z168" s="342" t="str">
        <f>Y168</f>
        <v>Condos, cooperatives (-1 Single Family) (-2 Rossmoor)</v>
      </c>
      <c r="AA168" s="342" t="s">
        <v>300</v>
      </c>
      <c r="AB168" s="342" t="s">
        <v>301</v>
      </c>
      <c r="AC168" s="342" t="s">
        <v>351</v>
      </c>
      <c r="AD168" s="342" t="s">
        <v>678</v>
      </c>
      <c r="AE168" s="343">
        <v>-9999</v>
      </c>
      <c r="AF168" s="345">
        <v>10</v>
      </c>
      <c r="AG168" s="342">
        <v>5</v>
      </c>
      <c r="AH168" s="342">
        <v>10</v>
      </c>
      <c r="AI168" s="346">
        <v>5207.9433165600003</v>
      </c>
      <c r="AJ168" s="347">
        <f t="shared" si="7"/>
        <v>0.11955792737741047</v>
      </c>
      <c r="AK168" s="347" t="str">
        <f t="shared" si="8"/>
        <v>SLR not in FZ</v>
      </c>
    </row>
    <row r="169" spans="1:37">
      <c r="A169" s="342">
        <v>1515</v>
      </c>
      <c r="B169" s="342" t="s">
        <v>1039</v>
      </c>
      <c r="C169" s="342" t="s">
        <v>1039</v>
      </c>
      <c r="D169" s="342" t="s">
        <v>1040</v>
      </c>
      <c r="E169" s="342" t="s">
        <v>1041</v>
      </c>
      <c r="F169" s="342"/>
      <c r="G169" s="343">
        <v>0</v>
      </c>
      <c r="H169" s="342" t="s">
        <v>1034</v>
      </c>
      <c r="I169" s="342" t="s">
        <v>569</v>
      </c>
      <c r="J169" s="342" t="s">
        <v>1042</v>
      </c>
      <c r="K169" s="342" t="s">
        <v>785</v>
      </c>
      <c r="L169" s="342" t="s">
        <v>369</v>
      </c>
      <c r="M169" s="342" t="s">
        <v>704</v>
      </c>
      <c r="N169" s="342">
        <v>91970</v>
      </c>
      <c r="O169" s="342">
        <v>193347</v>
      </c>
      <c r="P169" s="342">
        <v>0</v>
      </c>
      <c r="Q169" s="342" t="s">
        <v>298</v>
      </c>
      <c r="R169" s="342">
        <v>1</v>
      </c>
      <c r="S169" s="342">
        <v>1</v>
      </c>
      <c r="T169" s="342"/>
      <c r="U169" s="342">
        <v>0</v>
      </c>
      <c r="V169" s="342">
        <v>1</v>
      </c>
      <c r="W169" s="344" t="s">
        <v>26</v>
      </c>
      <c r="X169" s="342">
        <v>5183</v>
      </c>
      <c r="Y169" s="342" t="s">
        <v>247</v>
      </c>
      <c r="Z169" s="342" t="str">
        <f>Y169</f>
        <v>Condos, cooperatives (-1 Single Family) (-2 Rossmoor)</v>
      </c>
      <c r="AA169" s="342" t="s">
        <v>300</v>
      </c>
      <c r="AB169" s="342" t="s">
        <v>301</v>
      </c>
      <c r="AC169" s="342" t="s">
        <v>351</v>
      </c>
      <c r="AD169" s="342" t="s">
        <v>678</v>
      </c>
      <c r="AE169" s="343">
        <v>-9999</v>
      </c>
      <c r="AF169" s="345">
        <v>10</v>
      </c>
      <c r="AG169" s="342">
        <v>5</v>
      </c>
      <c r="AH169" s="342">
        <v>10</v>
      </c>
      <c r="AI169" s="346">
        <v>5183.9910124199996</v>
      </c>
      <c r="AJ169" s="347">
        <f t="shared" si="7"/>
        <v>0.11900805813636363</v>
      </c>
      <c r="AK169" s="347" t="str">
        <f t="shared" si="8"/>
        <v>SLR not in FZ</v>
      </c>
    </row>
    <row r="170" spans="1:37">
      <c r="A170" s="342">
        <v>483</v>
      </c>
      <c r="B170" s="342" t="s">
        <v>1043</v>
      </c>
      <c r="C170" s="342" t="s">
        <v>1043</v>
      </c>
      <c r="D170" s="342" t="s">
        <v>1044</v>
      </c>
      <c r="E170" s="342" t="s">
        <v>1045</v>
      </c>
      <c r="F170" s="342"/>
      <c r="G170" s="343">
        <v>0</v>
      </c>
      <c r="H170" s="342" t="s">
        <v>586</v>
      </c>
      <c r="I170" s="342" t="s">
        <v>307</v>
      </c>
      <c r="J170" s="342" t="s">
        <v>1046</v>
      </c>
      <c r="K170" s="342"/>
      <c r="L170" s="342" t="s">
        <v>309</v>
      </c>
      <c r="M170" s="342" t="s">
        <v>310</v>
      </c>
      <c r="N170" s="342">
        <v>200000</v>
      </c>
      <c r="O170" s="342">
        <v>190000</v>
      </c>
      <c r="P170" s="342">
        <v>0</v>
      </c>
      <c r="Q170" s="342" t="s">
        <v>423</v>
      </c>
      <c r="R170" s="342">
        <v>1</v>
      </c>
      <c r="S170" s="342">
        <v>1</v>
      </c>
      <c r="T170" s="342" t="s">
        <v>1047</v>
      </c>
      <c r="U170" s="342">
        <v>3320</v>
      </c>
      <c r="V170" s="342">
        <v>0</v>
      </c>
      <c r="W170" s="342">
        <v>2</v>
      </c>
      <c r="X170" s="342">
        <v>0</v>
      </c>
      <c r="Y170" s="342" t="s">
        <v>425</v>
      </c>
      <c r="Z170" s="342" t="str">
        <f t="shared" ref="Z170:Z177" si="10">IF(OR(Y170="Apartments, 5-12 units, inclusive", Y170="Apartments, 13-24 units, inclusive", Y170="Apartments, 25-59 units, inclusive", Y170="Apartments, 60 units or more"), "Apartments", IF(OR(Y170="Duplex", Y170="Triplex", Y170="Fourplex", Y170="Combinations; e.g., single and a double"),"Duplex, Triplex, Fourplex", "Vacant Multi Family"))</f>
        <v>Duplex, Triplex, Fourplex</v>
      </c>
      <c r="AA170" s="342" t="s">
        <v>300</v>
      </c>
      <c r="AB170" s="342" t="s">
        <v>301</v>
      </c>
      <c r="AC170" s="342" t="s">
        <v>351</v>
      </c>
      <c r="AD170" s="342" t="s">
        <v>678</v>
      </c>
      <c r="AE170" s="343">
        <v>-9999</v>
      </c>
      <c r="AF170" s="345">
        <v>10</v>
      </c>
      <c r="AG170" s="342">
        <v>5</v>
      </c>
      <c r="AH170" s="342">
        <v>10</v>
      </c>
      <c r="AI170" s="346">
        <v>3399.1418353700001</v>
      </c>
      <c r="AJ170" s="347">
        <f t="shared" si="7"/>
        <v>7.8033559122359972E-2</v>
      </c>
      <c r="AK170" s="347" t="str">
        <f t="shared" si="8"/>
        <v>SLR not in FZ</v>
      </c>
    </row>
    <row r="171" spans="1:37">
      <c r="A171" s="342">
        <v>484</v>
      </c>
      <c r="B171" s="342" t="s">
        <v>1048</v>
      </c>
      <c r="C171" s="342" t="s">
        <v>1048</v>
      </c>
      <c r="D171" s="342" t="s">
        <v>1049</v>
      </c>
      <c r="E171" s="342" t="s">
        <v>1045</v>
      </c>
      <c r="F171" s="342"/>
      <c r="G171" s="343">
        <v>0</v>
      </c>
      <c r="H171" s="342" t="s">
        <v>586</v>
      </c>
      <c r="I171" s="342" t="s">
        <v>307</v>
      </c>
      <c r="J171" s="342" t="s">
        <v>1050</v>
      </c>
      <c r="K171" s="342"/>
      <c r="L171" s="342" t="s">
        <v>309</v>
      </c>
      <c r="M171" s="342" t="s">
        <v>310</v>
      </c>
      <c r="N171" s="342">
        <v>78071</v>
      </c>
      <c r="O171" s="342">
        <v>32621</v>
      </c>
      <c r="P171" s="342">
        <v>0</v>
      </c>
      <c r="Q171" s="342" t="s">
        <v>423</v>
      </c>
      <c r="R171" s="342">
        <v>1</v>
      </c>
      <c r="S171" s="342">
        <v>1</v>
      </c>
      <c r="T171" s="342" t="s">
        <v>1047</v>
      </c>
      <c r="U171" s="342">
        <v>3680</v>
      </c>
      <c r="V171" s="342">
        <v>0</v>
      </c>
      <c r="W171" s="342">
        <v>2</v>
      </c>
      <c r="X171" s="342">
        <v>0</v>
      </c>
      <c r="Y171" s="342" t="s">
        <v>425</v>
      </c>
      <c r="Z171" s="342" t="str">
        <f t="shared" si="10"/>
        <v>Duplex, Triplex, Fourplex</v>
      </c>
      <c r="AA171" s="342" t="s">
        <v>300</v>
      </c>
      <c r="AB171" s="342" t="s">
        <v>301</v>
      </c>
      <c r="AC171" s="342" t="s">
        <v>351</v>
      </c>
      <c r="AD171" s="342" t="s">
        <v>678</v>
      </c>
      <c r="AE171" s="343">
        <v>-9999</v>
      </c>
      <c r="AF171" s="345">
        <v>10</v>
      </c>
      <c r="AG171" s="342">
        <v>5</v>
      </c>
      <c r="AH171" s="342">
        <v>10</v>
      </c>
      <c r="AI171" s="346">
        <v>3935.4206776599999</v>
      </c>
      <c r="AJ171" s="347">
        <f t="shared" si="7"/>
        <v>9.0344827310835624E-2</v>
      </c>
      <c r="AK171" s="347" t="str">
        <f t="shared" si="8"/>
        <v>SLR not in FZ</v>
      </c>
    </row>
    <row r="172" spans="1:37">
      <c r="A172" s="342">
        <v>504</v>
      </c>
      <c r="B172" s="342" t="s">
        <v>1051</v>
      </c>
      <c r="C172" s="342" t="s">
        <v>1051</v>
      </c>
      <c r="D172" s="342" t="s">
        <v>1052</v>
      </c>
      <c r="E172" s="342" t="s">
        <v>1053</v>
      </c>
      <c r="F172" s="342"/>
      <c r="G172" s="343">
        <v>2.5499999999999998</v>
      </c>
      <c r="H172" s="342" t="s">
        <v>1054</v>
      </c>
      <c r="I172" s="342" t="s">
        <v>294</v>
      </c>
      <c r="J172" s="342" t="s">
        <v>1055</v>
      </c>
      <c r="K172" s="342"/>
      <c r="L172" s="342" t="s">
        <v>1056</v>
      </c>
      <c r="M172" s="342" t="s">
        <v>1057</v>
      </c>
      <c r="N172" s="342">
        <v>24169</v>
      </c>
      <c r="O172" s="342">
        <v>73835</v>
      </c>
      <c r="P172" s="342">
        <v>0</v>
      </c>
      <c r="Q172" s="342" t="s">
        <v>423</v>
      </c>
      <c r="R172" s="342">
        <v>1</v>
      </c>
      <c r="S172" s="342">
        <v>1</v>
      </c>
      <c r="T172" s="342" t="s">
        <v>1058</v>
      </c>
      <c r="U172" s="342">
        <v>110880</v>
      </c>
      <c r="V172" s="342">
        <v>0</v>
      </c>
      <c r="W172" s="342">
        <v>2</v>
      </c>
      <c r="X172" s="342">
        <v>0</v>
      </c>
      <c r="Y172" s="342" t="s">
        <v>425</v>
      </c>
      <c r="Z172" s="342" t="str">
        <f t="shared" si="10"/>
        <v>Duplex, Triplex, Fourplex</v>
      </c>
      <c r="AA172" s="342" t="s">
        <v>300</v>
      </c>
      <c r="AB172" s="342" t="s">
        <v>301</v>
      </c>
      <c r="AC172" s="342" t="s">
        <v>351</v>
      </c>
      <c r="AD172" s="342" t="s">
        <v>678</v>
      </c>
      <c r="AE172" s="343">
        <v>-9999</v>
      </c>
      <c r="AF172" s="345">
        <v>10</v>
      </c>
      <c r="AG172" s="342">
        <v>5</v>
      </c>
      <c r="AH172" s="342">
        <v>10</v>
      </c>
      <c r="AI172" s="346">
        <v>111645.31279900001</v>
      </c>
      <c r="AJ172" s="347">
        <f t="shared" si="7"/>
        <v>2.5630237098025712</v>
      </c>
      <c r="AK172" s="347" t="str">
        <f t="shared" si="8"/>
        <v>SLR not in FZ</v>
      </c>
    </row>
    <row r="173" spans="1:37">
      <c r="A173" s="342">
        <v>1436</v>
      </c>
      <c r="B173" s="342" t="s">
        <v>1059</v>
      </c>
      <c r="C173" s="342" t="s">
        <v>1059</v>
      </c>
      <c r="D173" s="342" t="s">
        <v>1060</v>
      </c>
      <c r="E173" s="342" t="s">
        <v>1061</v>
      </c>
      <c r="F173" s="342"/>
      <c r="G173" s="343">
        <v>0</v>
      </c>
      <c r="H173" s="342" t="s">
        <v>1062</v>
      </c>
      <c r="I173" s="342" t="s">
        <v>307</v>
      </c>
      <c r="J173" s="342" t="s">
        <v>1063</v>
      </c>
      <c r="K173" s="342"/>
      <c r="L173" s="342" t="s">
        <v>369</v>
      </c>
      <c r="M173" s="342" t="s">
        <v>370</v>
      </c>
      <c r="N173" s="342">
        <v>63178</v>
      </c>
      <c r="O173" s="342">
        <v>115827</v>
      </c>
      <c r="P173" s="342">
        <v>0</v>
      </c>
      <c r="Q173" s="342" t="s">
        <v>298</v>
      </c>
      <c r="R173" s="342">
        <v>0</v>
      </c>
      <c r="S173" s="342">
        <v>3</v>
      </c>
      <c r="T173" s="342"/>
      <c r="U173" s="342">
        <v>0</v>
      </c>
      <c r="V173" s="342">
        <v>1</v>
      </c>
      <c r="W173" s="342">
        <v>3</v>
      </c>
      <c r="X173" s="342">
        <v>3912</v>
      </c>
      <c r="Y173" s="342" t="s">
        <v>498</v>
      </c>
      <c r="Z173" s="342" t="str">
        <f t="shared" si="10"/>
        <v>Duplex, Triplex, Fourplex</v>
      </c>
      <c r="AA173" s="342" t="s">
        <v>300</v>
      </c>
      <c r="AB173" s="342" t="s">
        <v>301</v>
      </c>
      <c r="AC173" s="342" t="s">
        <v>351</v>
      </c>
      <c r="AD173" s="342" t="s">
        <v>678</v>
      </c>
      <c r="AE173" s="343">
        <v>-9999</v>
      </c>
      <c r="AF173" s="345">
        <v>10</v>
      </c>
      <c r="AG173" s="342">
        <v>5</v>
      </c>
      <c r="AH173" s="342">
        <v>10</v>
      </c>
      <c r="AI173" s="346">
        <v>8375.1649694000007</v>
      </c>
      <c r="AJ173" s="347">
        <f t="shared" si="7"/>
        <v>0.19226733171258037</v>
      </c>
      <c r="AK173" s="347" t="str">
        <f t="shared" si="8"/>
        <v>SLR not in FZ</v>
      </c>
    </row>
    <row r="174" spans="1:37">
      <c r="A174" s="342">
        <v>1434</v>
      </c>
      <c r="B174" s="342" t="s">
        <v>1064</v>
      </c>
      <c r="C174" s="342" t="s">
        <v>1064</v>
      </c>
      <c r="D174" s="342" t="s">
        <v>1065</v>
      </c>
      <c r="E174" s="342" t="s">
        <v>1066</v>
      </c>
      <c r="F174" s="342"/>
      <c r="G174" s="343">
        <v>0</v>
      </c>
      <c r="H174" s="342" t="s">
        <v>1067</v>
      </c>
      <c r="I174" s="342" t="s">
        <v>294</v>
      </c>
      <c r="J174" s="342" t="s">
        <v>1068</v>
      </c>
      <c r="K174" s="342"/>
      <c r="L174" s="342" t="s">
        <v>369</v>
      </c>
      <c r="M174" s="342" t="s">
        <v>370</v>
      </c>
      <c r="N174" s="342">
        <v>41804</v>
      </c>
      <c r="O174" s="342">
        <v>71799</v>
      </c>
      <c r="P174" s="342">
        <v>0</v>
      </c>
      <c r="Q174" s="342" t="s">
        <v>298</v>
      </c>
      <c r="R174" s="342">
        <v>1</v>
      </c>
      <c r="S174" s="342">
        <v>1</v>
      </c>
      <c r="T174" s="342"/>
      <c r="U174" s="342">
        <v>0</v>
      </c>
      <c r="V174" s="342">
        <v>1</v>
      </c>
      <c r="W174" s="342">
        <v>3</v>
      </c>
      <c r="X174" s="342">
        <v>1395</v>
      </c>
      <c r="Y174" s="342" t="s">
        <v>503</v>
      </c>
      <c r="Z174" s="342" t="str">
        <f t="shared" si="10"/>
        <v>Duplex, Triplex, Fourplex</v>
      </c>
      <c r="AA174" s="342" t="s">
        <v>300</v>
      </c>
      <c r="AB174" s="342" t="s">
        <v>301</v>
      </c>
      <c r="AC174" s="342" t="s">
        <v>351</v>
      </c>
      <c r="AD174" s="342" t="s">
        <v>678</v>
      </c>
      <c r="AE174" s="343">
        <v>-9999</v>
      </c>
      <c r="AF174" s="345">
        <v>10</v>
      </c>
      <c r="AG174" s="342">
        <v>5</v>
      </c>
      <c r="AH174" s="342">
        <v>10</v>
      </c>
      <c r="AI174" s="346">
        <v>2441.8634889099999</v>
      </c>
      <c r="AJ174" s="347">
        <f t="shared" si="7"/>
        <v>5.6057472197199261E-2</v>
      </c>
      <c r="AK174" s="347" t="str">
        <f t="shared" si="8"/>
        <v>SLR not in FZ</v>
      </c>
    </row>
    <row r="175" spans="1:37">
      <c r="A175" s="342">
        <v>1441</v>
      </c>
      <c r="B175" s="342" t="s">
        <v>1069</v>
      </c>
      <c r="C175" s="342" t="s">
        <v>1069</v>
      </c>
      <c r="D175" s="342" t="s">
        <v>1070</v>
      </c>
      <c r="E175" s="342" t="s">
        <v>1071</v>
      </c>
      <c r="F175" s="342"/>
      <c r="G175" s="343">
        <v>0</v>
      </c>
      <c r="H175" s="342" t="s">
        <v>1072</v>
      </c>
      <c r="I175" s="342" t="s">
        <v>307</v>
      </c>
      <c r="J175" s="342" t="s">
        <v>1026</v>
      </c>
      <c r="K175" s="342"/>
      <c r="L175" s="342" t="s">
        <v>369</v>
      </c>
      <c r="M175" s="342" t="s">
        <v>370</v>
      </c>
      <c r="N175" s="342">
        <v>39900</v>
      </c>
      <c r="O175" s="342">
        <v>160100</v>
      </c>
      <c r="P175" s="342">
        <v>0</v>
      </c>
      <c r="Q175" s="342" t="s">
        <v>298</v>
      </c>
      <c r="R175" s="342">
        <v>1</v>
      </c>
      <c r="S175" s="342">
        <v>1</v>
      </c>
      <c r="T175" s="342"/>
      <c r="U175" s="342">
        <v>0</v>
      </c>
      <c r="V175" s="342">
        <v>2</v>
      </c>
      <c r="W175" s="342">
        <v>5</v>
      </c>
      <c r="X175" s="342">
        <v>3640</v>
      </c>
      <c r="Y175" s="342" t="s">
        <v>299</v>
      </c>
      <c r="Z175" s="342" t="str">
        <f t="shared" si="10"/>
        <v>Apartments</v>
      </c>
      <c r="AA175" s="342" t="s">
        <v>300</v>
      </c>
      <c r="AB175" s="342" t="s">
        <v>301</v>
      </c>
      <c r="AC175" s="342" t="s">
        <v>351</v>
      </c>
      <c r="AD175" s="342" t="s">
        <v>678</v>
      </c>
      <c r="AE175" s="343">
        <v>-9999</v>
      </c>
      <c r="AF175" s="345">
        <v>10</v>
      </c>
      <c r="AG175" s="342">
        <v>6</v>
      </c>
      <c r="AH175" s="342">
        <v>10</v>
      </c>
      <c r="AI175" s="346">
        <v>7105.76919946</v>
      </c>
      <c r="AJ175" s="347">
        <f t="shared" si="7"/>
        <v>0.16312601467998164</v>
      </c>
      <c r="AK175" s="347" t="str">
        <f t="shared" si="8"/>
        <v>SLR not in FZ</v>
      </c>
    </row>
    <row r="176" spans="1:37">
      <c r="A176" s="342">
        <v>337</v>
      </c>
      <c r="B176" s="342" t="s">
        <v>1073</v>
      </c>
      <c r="C176" s="342" t="s">
        <v>1073</v>
      </c>
      <c r="D176" s="342" t="s">
        <v>1074</v>
      </c>
      <c r="E176" s="342" t="s">
        <v>1075</v>
      </c>
      <c r="F176" s="342"/>
      <c r="G176" s="343">
        <v>0</v>
      </c>
      <c r="H176" s="342" t="s">
        <v>1076</v>
      </c>
      <c r="I176" s="342" t="s">
        <v>294</v>
      </c>
      <c r="J176" s="342"/>
      <c r="K176" s="342"/>
      <c r="L176" s="342" t="s">
        <v>296</v>
      </c>
      <c r="M176" s="342" t="s">
        <v>297</v>
      </c>
      <c r="N176" s="342">
        <v>29968</v>
      </c>
      <c r="O176" s="342">
        <v>189964</v>
      </c>
      <c r="P176" s="342">
        <v>0</v>
      </c>
      <c r="Q176" s="342" t="s">
        <v>298</v>
      </c>
      <c r="R176" s="342">
        <v>0</v>
      </c>
      <c r="S176" s="342">
        <v>3</v>
      </c>
      <c r="T176" s="342"/>
      <c r="U176" s="342">
        <v>0</v>
      </c>
      <c r="V176" s="342">
        <v>2</v>
      </c>
      <c r="W176" s="342">
        <v>9</v>
      </c>
      <c r="X176" s="342">
        <v>8516</v>
      </c>
      <c r="Y176" s="342" t="s">
        <v>299</v>
      </c>
      <c r="Z176" s="342" t="str">
        <f t="shared" si="10"/>
        <v>Apartments</v>
      </c>
      <c r="AA176" s="342" t="s">
        <v>300</v>
      </c>
      <c r="AB176" s="342" t="s">
        <v>301</v>
      </c>
      <c r="AC176" s="342" t="s">
        <v>351</v>
      </c>
      <c r="AD176" s="342" t="s">
        <v>678</v>
      </c>
      <c r="AE176" s="343">
        <v>-9999</v>
      </c>
      <c r="AF176" s="345">
        <v>10</v>
      </c>
      <c r="AG176" s="342">
        <v>6</v>
      </c>
      <c r="AH176" s="342">
        <v>5</v>
      </c>
      <c r="AI176" s="346">
        <v>21217.314151400002</v>
      </c>
      <c r="AJ176" s="347">
        <f t="shared" si="7"/>
        <v>0.4870825103627181</v>
      </c>
      <c r="AK176" s="347" t="str">
        <f t="shared" si="8"/>
        <v>SLR not in FZ</v>
      </c>
    </row>
    <row r="177" spans="1:37">
      <c r="A177" s="342">
        <v>317</v>
      </c>
      <c r="B177" s="342" t="s">
        <v>1077</v>
      </c>
      <c r="C177" s="342" t="s">
        <v>1077</v>
      </c>
      <c r="D177" s="342" t="s">
        <v>1078</v>
      </c>
      <c r="E177" s="342" t="s">
        <v>652</v>
      </c>
      <c r="F177" s="342"/>
      <c r="G177" s="343">
        <v>0</v>
      </c>
      <c r="H177" s="342" t="s">
        <v>1076</v>
      </c>
      <c r="I177" s="342" t="s">
        <v>294</v>
      </c>
      <c r="J177" s="342" t="s">
        <v>401</v>
      </c>
      <c r="K177" s="342"/>
      <c r="L177" s="342" t="s">
        <v>296</v>
      </c>
      <c r="M177" s="342" t="s">
        <v>297</v>
      </c>
      <c r="N177" s="342">
        <v>28778</v>
      </c>
      <c r="O177" s="342">
        <v>204516</v>
      </c>
      <c r="P177" s="342">
        <v>0</v>
      </c>
      <c r="Q177" s="342" t="s">
        <v>298</v>
      </c>
      <c r="R177" s="342">
        <v>1</v>
      </c>
      <c r="S177" s="342">
        <v>1</v>
      </c>
      <c r="T177" s="342"/>
      <c r="U177" s="342">
        <v>0</v>
      </c>
      <c r="V177" s="342">
        <v>2</v>
      </c>
      <c r="W177" s="342">
        <v>9</v>
      </c>
      <c r="X177" s="342">
        <v>8744</v>
      </c>
      <c r="Y177" s="342" t="s">
        <v>299</v>
      </c>
      <c r="Z177" s="342" t="str">
        <f t="shared" si="10"/>
        <v>Apartments</v>
      </c>
      <c r="AA177" s="342" t="s">
        <v>300</v>
      </c>
      <c r="AB177" s="342" t="s">
        <v>301</v>
      </c>
      <c r="AC177" s="342" t="s">
        <v>351</v>
      </c>
      <c r="AD177" s="342" t="s">
        <v>678</v>
      </c>
      <c r="AE177" s="343">
        <v>-9999</v>
      </c>
      <c r="AF177" s="345">
        <v>10</v>
      </c>
      <c r="AG177" s="342">
        <v>6</v>
      </c>
      <c r="AH177" s="342">
        <v>10</v>
      </c>
      <c r="AI177" s="346">
        <v>14101.0567407</v>
      </c>
      <c r="AJ177" s="347">
        <f t="shared" si="7"/>
        <v>0.32371571948347105</v>
      </c>
      <c r="AK177" s="347" t="str">
        <f t="shared" si="8"/>
        <v>SLR not in FZ</v>
      </c>
    </row>
    <row r="178" spans="1:37">
      <c r="A178" s="342">
        <v>1509</v>
      </c>
      <c r="B178" s="342" t="s">
        <v>1079</v>
      </c>
      <c r="C178" s="342" t="s">
        <v>1079</v>
      </c>
      <c r="D178" s="342" t="s">
        <v>1032</v>
      </c>
      <c r="E178" s="342" t="s">
        <v>1080</v>
      </c>
      <c r="F178" s="342"/>
      <c r="G178" s="343">
        <v>0</v>
      </c>
      <c r="H178" s="342" t="s">
        <v>1034</v>
      </c>
      <c r="I178" s="342" t="s">
        <v>569</v>
      </c>
      <c r="J178" s="342"/>
      <c r="K178" s="342"/>
      <c r="L178" s="342" t="s">
        <v>369</v>
      </c>
      <c r="M178" s="342" t="s">
        <v>704</v>
      </c>
      <c r="N178" s="342">
        <v>106281</v>
      </c>
      <c r="O178" s="342">
        <v>209150</v>
      </c>
      <c r="P178" s="342">
        <v>0</v>
      </c>
      <c r="Q178" s="342" t="s">
        <v>298</v>
      </c>
      <c r="R178" s="342">
        <v>1</v>
      </c>
      <c r="S178" s="342">
        <v>1</v>
      </c>
      <c r="T178" s="342"/>
      <c r="U178" s="342">
        <v>0</v>
      </c>
      <c r="V178" s="342">
        <v>0</v>
      </c>
      <c r="W178" s="344" t="s">
        <v>26</v>
      </c>
      <c r="X178" s="342">
        <v>4015</v>
      </c>
      <c r="Y178" s="342" t="s">
        <v>247</v>
      </c>
      <c r="Z178" s="342" t="str">
        <f t="shared" ref="Z178:Z183" si="11">Y178</f>
        <v>Condos, cooperatives (-1 Single Family) (-2 Rossmoor)</v>
      </c>
      <c r="AA178" s="342" t="s">
        <v>300</v>
      </c>
      <c r="AB178" s="342" t="s">
        <v>301</v>
      </c>
      <c r="AC178" s="342" t="s">
        <v>351</v>
      </c>
      <c r="AD178" s="342" t="s">
        <v>678</v>
      </c>
      <c r="AE178" s="343">
        <v>-9999</v>
      </c>
      <c r="AF178" s="345">
        <v>10</v>
      </c>
      <c r="AG178" s="342">
        <v>6</v>
      </c>
      <c r="AH178" s="342">
        <v>10</v>
      </c>
      <c r="AI178" s="346">
        <v>4013.9774092600001</v>
      </c>
      <c r="AJ178" s="347">
        <f t="shared" si="7"/>
        <v>9.2148241718549129E-2</v>
      </c>
      <c r="AK178" s="347" t="str">
        <f t="shared" si="8"/>
        <v>SLR not in FZ</v>
      </c>
    </row>
    <row r="179" spans="1:37">
      <c r="A179" s="342">
        <v>1511</v>
      </c>
      <c r="B179" s="342" t="s">
        <v>1081</v>
      </c>
      <c r="C179" s="342" t="s">
        <v>1081</v>
      </c>
      <c r="D179" s="342" t="s">
        <v>1032</v>
      </c>
      <c r="E179" s="342" t="s">
        <v>1082</v>
      </c>
      <c r="F179" s="342"/>
      <c r="G179" s="343">
        <v>0</v>
      </c>
      <c r="H179" s="342" t="s">
        <v>1034</v>
      </c>
      <c r="I179" s="342" t="s">
        <v>569</v>
      </c>
      <c r="J179" s="342"/>
      <c r="K179" s="342"/>
      <c r="L179" s="342" t="s">
        <v>369</v>
      </c>
      <c r="M179" s="342" t="s">
        <v>704</v>
      </c>
      <c r="N179" s="342">
        <v>96000</v>
      </c>
      <c r="O179" s="342">
        <v>189000</v>
      </c>
      <c r="P179" s="342">
        <v>0</v>
      </c>
      <c r="Q179" s="342" t="s">
        <v>298</v>
      </c>
      <c r="R179" s="342">
        <v>1</v>
      </c>
      <c r="S179" s="342">
        <v>1</v>
      </c>
      <c r="T179" s="342"/>
      <c r="U179" s="342">
        <v>0</v>
      </c>
      <c r="V179" s="342">
        <v>0</v>
      </c>
      <c r="W179" s="344" t="s">
        <v>26</v>
      </c>
      <c r="X179" s="342">
        <v>3759</v>
      </c>
      <c r="Y179" s="342" t="s">
        <v>247</v>
      </c>
      <c r="Z179" s="342" t="str">
        <f t="shared" si="11"/>
        <v>Condos, cooperatives (-1 Single Family) (-2 Rossmoor)</v>
      </c>
      <c r="AA179" s="342" t="s">
        <v>300</v>
      </c>
      <c r="AB179" s="342" t="s">
        <v>301</v>
      </c>
      <c r="AC179" s="342" t="s">
        <v>351</v>
      </c>
      <c r="AD179" s="342" t="s">
        <v>678</v>
      </c>
      <c r="AE179" s="343">
        <v>-9999</v>
      </c>
      <c r="AF179" s="345">
        <v>10</v>
      </c>
      <c r="AG179" s="342">
        <v>6</v>
      </c>
      <c r="AH179" s="342">
        <v>10</v>
      </c>
      <c r="AI179" s="346">
        <v>3756.0027534000001</v>
      </c>
      <c r="AJ179" s="347">
        <f t="shared" si="7"/>
        <v>8.6225958526170807E-2</v>
      </c>
      <c r="AK179" s="347" t="str">
        <f t="shared" si="8"/>
        <v>SLR not in FZ</v>
      </c>
    </row>
    <row r="180" spans="1:37">
      <c r="A180" s="342">
        <v>1729</v>
      </c>
      <c r="B180" s="342" t="s">
        <v>1083</v>
      </c>
      <c r="C180" s="342" t="s">
        <v>1083</v>
      </c>
      <c r="D180" s="342" t="s">
        <v>1084</v>
      </c>
      <c r="E180" s="342" t="s">
        <v>1085</v>
      </c>
      <c r="F180" s="342"/>
      <c r="G180" s="343">
        <v>0</v>
      </c>
      <c r="H180" s="342" t="s">
        <v>1086</v>
      </c>
      <c r="I180" s="342" t="s">
        <v>1087</v>
      </c>
      <c r="J180" s="342" t="s">
        <v>1088</v>
      </c>
      <c r="K180" s="342" t="s">
        <v>1089</v>
      </c>
      <c r="L180" s="342" t="s">
        <v>369</v>
      </c>
      <c r="M180" s="342" t="s">
        <v>370</v>
      </c>
      <c r="N180" s="342">
        <v>131669</v>
      </c>
      <c r="O180" s="342">
        <v>120831</v>
      </c>
      <c r="P180" s="342">
        <v>0</v>
      </c>
      <c r="Q180" s="342" t="s">
        <v>423</v>
      </c>
      <c r="R180" s="342">
        <v>1</v>
      </c>
      <c r="S180" s="342">
        <v>1</v>
      </c>
      <c r="T180" s="342" t="s">
        <v>1090</v>
      </c>
      <c r="U180" s="342">
        <v>0</v>
      </c>
      <c r="V180" s="342">
        <v>0</v>
      </c>
      <c r="W180" s="344" t="s">
        <v>26</v>
      </c>
      <c r="X180" s="342">
        <v>0</v>
      </c>
      <c r="Y180" s="342" t="s">
        <v>247</v>
      </c>
      <c r="Z180" s="342" t="str">
        <f t="shared" si="11"/>
        <v>Condos, cooperatives (-1 Single Family) (-2 Rossmoor)</v>
      </c>
      <c r="AA180" s="342" t="s">
        <v>300</v>
      </c>
      <c r="AB180" s="342" t="s">
        <v>301</v>
      </c>
      <c r="AC180" s="342" t="s">
        <v>351</v>
      </c>
      <c r="AD180" s="342" t="s">
        <v>678</v>
      </c>
      <c r="AE180" s="343">
        <v>-9999</v>
      </c>
      <c r="AF180" s="345">
        <v>10</v>
      </c>
      <c r="AG180" s="342">
        <v>6</v>
      </c>
      <c r="AH180" s="342">
        <v>10</v>
      </c>
      <c r="AI180" s="346">
        <v>1338.08721158</v>
      </c>
      <c r="AJ180" s="347">
        <f t="shared" si="7"/>
        <v>3.0718255545913682E-2</v>
      </c>
      <c r="AK180" s="347" t="str">
        <f t="shared" si="8"/>
        <v>SLR not in FZ</v>
      </c>
    </row>
    <row r="181" spans="1:37">
      <c r="A181" s="342">
        <v>1731</v>
      </c>
      <c r="B181" s="342" t="s">
        <v>1091</v>
      </c>
      <c r="C181" s="342" t="s">
        <v>1091</v>
      </c>
      <c r="D181" s="342" t="s">
        <v>1092</v>
      </c>
      <c r="E181" s="342" t="s">
        <v>1093</v>
      </c>
      <c r="F181" s="342"/>
      <c r="G181" s="343">
        <v>0</v>
      </c>
      <c r="H181" s="342" t="s">
        <v>1086</v>
      </c>
      <c r="I181" s="342" t="s">
        <v>1087</v>
      </c>
      <c r="J181" s="342" t="s">
        <v>1088</v>
      </c>
      <c r="K181" s="342" t="s">
        <v>1094</v>
      </c>
      <c r="L181" s="342" t="s">
        <v>369</v>
      </c>
      <c r="M181" s="342" t="s">
        <v>370</v>
      </c>
      <c r="N181" s="342">
        <v>106655</v>
      </c>
      <c r="O181" s="342">
        <v>125345</v>
      </c>
      <c r="P181" s="342">
        <v>0</v>
      </c>
      <c r="Q181" s="342" t="s">
        <v>423</v>
      </c>
      <c r="R181" s="342">
        <v>1</v>
      </c>
      <c r="S181" s="342">
        <v>1</v>
      </c>
      <c r="T181" s="342" t="s">
        <v>1090</v>
      </c>
      <c r="U181" s="342">
        <v>0</v>
      </c>
      <c r="V181" s="342">
        <v>0</v>
      </c>
      <c r="W181" s="344" t="s">
        <v>26</v>
      </c>
      <c r="X181" s="342">
        <v>0</v>
      </c>
      <c r="Y181" s="342" t="s">
        <v>247</v>
      </c>
      <c r="Z181" s="342" t="str">
        <f t="shared" si="11"/>
        <v>Condos, cooperatives (-1 Single Family) (-2 Rossmoor)</v>
      </c>
      <c r="AA181" s="342" t="s">
        <v>300</v>
      </c>
      <c r="AB181" s="342" t="s">
        <v>301</v>
      </c>
      <c r="AC181" s="342" t="s">
        <v>351</v>
      </c>
      <c r="AD181" s="342" t="s">
        <v>678</v>
      </c>
      <c r="AE181" s="343">
        <v>-9999</v>
      </c>
      <c r="AF181" s="345">
        <v>10</v>
      </c>
      <c r="AG181" s="342">
        <v>6</v>
      </c>
      <c r="AH181" s="342">
        <v>10</v>
      </c>
      <c r="AI181" s="346">
        <v>1025.2836399</v>
      </c>
      <c r="AJ181" s="347">
        <f t="shared" si="7"/>
        <v>2.353727364325069E-2</v>
      </c>
      <c r="AK181" s="347" t="str">
        <f t="shared" si="8"/>
        <v>SLR not in FZ</v>
      </c>
    </row>
    <row r="182" spans="1:37">
      <c r="A182" s="342">
        <v>1513</v>
      </c>
      <c r="B182" s="342" t="s">
        <v>1095</v>
      </c>
      <c r="C182" s="342" t="s">
        <v>1095</v>
      </c>
      <c r="D182" s="342" t="s">
        <v>1040</v>
      </c>
      <c r="E182" s="342" t="s">
        <v>1096</v>
      </c>
      <c r="F182" s="342"/>
      <c r="G182" s="343">
        <v>0</v>
      </c>
      <c r="H182" s="342" t="s">
        <v>1034</v>
      </c>
      <c r="I182" s="342" t="s">
        <v>569</v>
      </c>
      <c r="J182" s="342" t="s">
        <v>1097</v>
      </c>
      <c r="K182" s="342" t="s">
        <v>1098</v>
      </c>
      <c r="L182" s="342" t="s">
        <v>369</v>
      </c>
      <c r="M182" s="342" t="s">
        <v>704</v>
      </c>
      <c r="N182" s="342">
        <v>73158</v>
      </c>
      <c r="O182" s="342">
        <v>152587</v>
      </c>
      <c r="P182" s="342">
        <v>0</v>
      </c>
      <c r="Q182" s="342" t="s">
        <v>298</v>
      </c>
      <c r="R182" s="342">
        <v>1</v>
      </c>
      <c r="S182" s="342">
        <v>1</v>
      </c>
      <c r="T182" s="342"/>
      <c r="U182" s="342">
        <v>0</v>
      </c>
      <c r="V182" s="342">
        <v>1</v>
      </c>
      <c r="W182" s="344" t="s">
        <v>26</v>
      </c>
      <c r="X182" s="342">
        <v>4102</v>
      </c>
      <c r="Y182" s="342" t="s">
        <v>247</v>
      </c>
      <c r="Z182" s="342" t="str">
        <f t="shared" si="11"/>
        <v>Condos, cooperatives (-1 Single Family) (-2 Rossmoor)</v>
      </c>
      <c r="AA182" s="342" t="s">
        <v>300</v>
      </c>
      <c r="AB182" s="342" t="s">
        <v>301</v>
      </c>
      <c r="AC182" s="342" t="s">
        <v>351</v>
      </c>
      <c r="AD182" s="342" t="s">
        <v>678</v>
      </c>
      <c r="AE182" s="343">
        <v>-9999</v>
      </c>
      <c r="AF182" s="345">
        <v>10</v>
      </c>
      <c r="AG182" s="342">
        <v>6</v>
      </c>
      <c r="AH182" s="342">
        <v>10</v>
      </c>
      <c r="AI182" s="346">
        <v>4111.6489423200001</v>
      </c>
      <c r="AJ182" s="347">
        <f t="shared" si="7"/>
        <v>9.4390471586776867E-2</v>
      </c>
      <c r="AK182" s="347" t="str">
        <f t="shared" si="8"/>
        <v>SLR not in FZ</v>
      </c>
    </row>
    <row r="183" spans="1:37">
      <c r="A183" s="342">
        <v>1516</v>
      </c>
      <c r="B183" s="342" t="s">
        <v>1099</v>
      </c>
      <c r="C183" s="342" t="s">
        <v>1099</v>
      </c>
      <c r="D183" s="342" t="s">
        <v>1040</v>
      </c>
      <c r="E183" s="342" t="s">
        <v>1100</v>
      </c>
      <c r="F183" s="342"/>
      <c r="G183" s="343">
        <v>0</v>
      </c>
      <c r="H183" s="342" t="s">
        <v>1034</v>
      </c>
      <c r="I183" s="342" t="s">
        <v>569</v>
      </c>
      <c r="J183" s="342" t="s">
        <v>1042</v>
      </c>
      <c r="K183" s="342" t="s">
        <v>1101</v>
      </c>
      <c r="L183" s="342" t="s">
        <v>369</v>
      </c>
      <c r="M183" s="342" t="s">
        <v>704</v>
      </c>
      <c r="N183" s="342">
        <v>90924</v>
      </c>
      <c r="O183" s="342">
        <v>191257</v>
      </c>
      <c r="P183" s="342">
        <v>0</v>
      </c>
      <c r="Q183" s="342" t="s">
        <v>298</v>
      </c>
      <c r="R183" s="342">
        <v>1</v>
      </c>
      <c r="S183" s="342">
        <v>1</v>
      </c>
      <c r="T183" s="342"/>
      <c r="U183" s="342">
        <v>0</v>
      </c>
      <c r="V183" s="342">
        <v>1</v>
      </c>
      <c r="W183" s="344" t="s">
        <v>26</v>
      </c>
      <c r="X183" s="342">
        <v>5128</v>
      </c>
      <c r="Y183" s="342" t="s">
        <v>247</v>
      </c>
      <c r="Z183" s="342" t="str">
        <f t="shared" si="11"/>
        <v>Condos, cooperatives (-1 Single Family) (-2 Rossmoor)</v>
      </c>
      <c r="AA183" s="342" t="s">
        <v>300</v>
      </c>
      <c r="AB183" s="342" t="s">
        <v>301</v>
      </c>
      <c r="AC183" s="342" t="s">
        <v>351</v>
      </c>
      <c r="AD183" s="342" t="s">
        <v>678</v>
      </c>
      <c r="AE183" s="343">
        <v>-9999</v>
      </c>
      <c r="AF183" s="345">
        <v>10</v>
      </c>
      <c r="AG183" s="342">
        <v>6</v>
      </c>
      <c r="AH183" s="342">
        <v>10</v>
      </c>
      <c r="AI183" s="346">
        <v>5127.9721173400003</v>
      </c>
      <c r="AJ183" s="347">
        <f t="shared" si="7"/>
        <v>0.11772204126124886</v>
      </c>
      <c r="AK183" s="347" t="str">
        <f t="shared" si="8"/>
        <v>SLR not in FZ</v>
      </c>
    </row>
    <row r="184" spans="1:37">
      <c r="A184" s="342">
        <v>1517</v>
      </c>
      <c r="B184" s="342" t="s">
        <v>1102</v>
      </c>
      <c r="C184" s="342" t="s">
        <v>1102</v>
      </c>
      <c r="D184" s="342" t="s">
        <v>1103</v>
      </c>
      <c r="E184" s="342" t="s">
        <v>1104</v>
      </c>
      <c r="F184" s="342"/>
      <c r="G184" s="343">
        <v>0</v>
      </c>
      <c r="H184" s="342" t="s">
        <v>1105</v>
      </c>
      <c r="I184" s="342" t="s">
        <v>294</v>
      </c>
      <c r="J184" s="342" t="s">
        <v>1106</v>
      </c>
      <c r="K184" s="342"/>
      <c r="L184" s="342" t="s">
        <v>369</v>
      </c>
      <c r="M184" s="342" t="s">
        <v>704</v>
      </c>
      <c r="N184" s="342">
        <v>132855</v>
      </c>
      <c r="O184" s="342">
        <v>169392</v>
      </c>
      <c r="P184" s="342">
        <v>0</v>
      </c>
      <c r="Q184" s="342" t="s">
        <v>423</v>
      </c>
      <c r="R184" s="342">
        <v>1</v>
      </c>
      <c r="S184" s="342">
        <v>2</v>
      </c>
      <c r="T184" s="342"/>
      <c r="U184" s="342">
        <v>4000</v>
      </c>
      <c r="V184" s="342">
        <v>0</v>
      </c>
      <c r="W184" s="342">
        <v>2</v>
      </c>
      <c r="X184" s="342">
        <v>0</v>
      </c>
      <c r="Y184" s="342" t="s">
        <v>498</v>
      </c>
      <c r="Z184" s="342" t="str">
        <f t="shared" ref="Z184:Z198" si="12">IF(OR(Y184="Apartments, 5-12 units, inclusive", Y184="Apartments, 13-24 units, inclusive", Y184="Apartments, 25-59 units, inclusive", Y184="Apartments, 60 units or more"), "Apartments", IF(OR(Y184="Duplex", Y184="Triplex", Y184="Fourplex", Y184="Combinations; e.g., single and a double"),"Duplex, Triplex, Fourplex", "Vacant Multi Family"))</f>
        <v>Duplex, Triplex, Fourplex</v>
      </c>
      <c r="AA184" s="342" t="s">
        <v>300</v>
      </c>
      <c r="AB184" s="342" t="s">
        <v>301</v>
      </c>
      <c r="AC184" s="342" t="s">
        <v>351</v>
      </c>
      <c r="AD184" s="342" t="s">
        <v>678</v>
      </c>
      <c r="AE184" s="343">
        <v>-9999</v>
      </c>
      <c r="AF184" s="345">
        <v>10</v>
      </c>
      <c r="AG184" s="342">
        <v>6</v>
      </c>
      <c r="AH184" s="342">
        <v>10</v>
      </c>
      <c r="AI184" s="346">
        <v>4054.4469355800002</v>
      </c>
      <c r="AJ184" s="347">
        <f t="shared" si="7"/>
        <v>9.3077294205234168E-2</v>
      </c>
      <c r="AK184" s="347" t="str">
        <f t="shared" si="8"/>
        <v>SLR not in FZ</v>
      </c>
    </row>
    <row r="185" spans="1:37">
      <c r="A185" s="342">
        <v>328</v>
      </c>
      <c r="B185" s="342" t="s">
        <v>1107</v>
      </c>
      <c r="C185" s="342" t="s">
        <v>1107</v>
      </c>
      <c r="D185" s="342" t="s">
        <v>1108</v>
      </c>
      <c r="E185" s="342" t="s">
        <v>1109</v>
      </c>
      <c r="F185" s="342"/>
      <c r="G185" s="343">
        <v>0</v>
      </c>
      <c r="H185" s="342" t="s">
        <v>1110</v>
      </c>
      <c r="I185" s="342" t="s">
        <v>307</v>
      </c>
      <c r="J185" s="342" t="s">
        <v>1111</v>
      </c>
      <c r="K185" s="342"/>
      <c r="L185" s="342" t="s">
        <v>296</v>
      </c>
      <c r="M185" s="342" t="s">
        <v>297</v>
      </c>
      <c r="N185" s="342">
        <v>63027</v>
      </c>
      <c r="O185" s="342">
        <v>47270</v>
      </c>
      <c r="P185" s="342">
        <v>0</v>
      </c>
      <c r="Q185" s="342" t="s">
        <v>423</v>
      </c>
      <c r="R185" s="342">
        <v>1</v>
      </c>
      <c r="S185" s="342">
        <v>1</v>
      </c>
      <c r="T185" s="342" t="s">
        <v>1112</v>
      </c>
      <c r="U185" s="342">
        <v>3700</v>
      </c>
      <c r="V185" s="342">
        <v>0</v>
      </c>
      <c r="W185" s="342">
        <v>2</v>
      </c>
      <c r="X185" s="342">
        <v>0</v>
      </c>
      <c r="Y185" s="342" t="s">
        <v>425</v>
      </c>
      <c r="Z185" s="342" t="str">
        <f t="shared" si="12"/>
        <v>Duplex, Triplex, Fourplex</v>
      </c>
      <c r="AA185" s="342" t="s">
        <v>300</v>
      </c>
      <c r="AB185" s="342" t="s">
        <v>301</v>
      </c>
      <c r="AC185" s="342" t="s">
        <v>351</v>
      </c>
      <c r="AD185" s="342" t="s">
        <v>678</v>
      </c>
      <c r="AE185" s="343">
        <v>-9999</v>
      </c>
      <c r="AF185" s="345">
        <v>10</v>
      </c>
      <c r="AG185" s="342">
        <v>6</v>
      </c>
      <c r="AH185" s="342">
        <v>5</v>
      </c>
      <c r="AI185" s="346">
        <v>3663.4306124499999</v>
      </c>
      <c r="AJ185" s="347">
        <f t="shared" si="7"/>
        <v>8.410079459251607E-2</v>
      </c>
      <c r="AK185" s="347" t="str">
        <f t="shared" si="8"/>
        <v>SLR not in FZ</v>
      </c>
    </row>
    <row r="186" spans="1:37">
      <c r="A186" s="342">
        <v>377</v>
      </c>
      <c r="B186" s="342" t="s">
        <v>1113</v>
      </c>
      <c r="C186" s="342" t="s">
        <v>1113</v>
      </c>
      <c r="D186" s="342" t="s">
        <v>1114</v>
      </c>
      <c r="E186" s="342" t="s">
        <v>1115</v>
      </c>
      <c r="F186" s="342"/>
      <c r="G186" s="343">
        <v>0</v>
      </c>
      <c r="H186" s="342" t="s">
        <v>1116</v>
      </c>
      <c r="I186" s="342" t="s">
        <v>307</v>
      </c>
      <c r="J186" s="342" t="s">
        <v>1117</v>
      </c>
      <c r="K186" s="342"/>
      <c r="L186" s="342" t="s">
        <v>309</v>
      </c>
      <c r="M186" s="342" t="s">
        <v>310</v>
      </c>
      <c r="N186" s="342">
        <v>56842</v>
      </c>
      <c r="O186" s="342">
        <v>158928</v>
      </c>
      <c r="P186" s="342">
        <v>0</v>
      </c>
      <c r="Q186" s="342" t="s">
        <v>423</v>
      </c>
      <c r="R186" s="342">
        <v>1</v>
      </c>
      <c r="S186" s="342">
        <v>1</v>
      </c>
      <c r="T186" s="342" t="s">
        <v>1118</v>
      </c>
      <c r="U186" s="342">
        <v>5500</v>
      </c>
      <c r="V186" s="342">
        <v>0</v>
      </c>
      <c r="W186" s="342">
        <v>2</v>
      </c>
      <c r="X186" s="342">
        <v>0</v>
      </c>
      <c r="Y186" s="342" t="s">
        <v>425</v>
      </c>
      <c r="Z186" s="342" t="str">
        <f t="shared" si="12"/>
        <v>Duplex, Triplex, Fourplex</v>
      </c>
      <c r="AA186" s="342" t="s">
        <v>300</v>
      </c>
      <c r="AB186" s="342" t="s">
        <v>301</v>
      </c>
      <c r="AC186" s="342" t="s">
        <v>351</v>
      </c>
      <c r="AD186" s="342" t="s">
        <v>678</v>
      </c>
      <c r="AE186" s="343">
        <v>-9999</v>
      </c>
      <c r="AF186" s="345">
        <v>10</v>
      </c>
      <c r="AG186" s="342">
        <v>6</v>
      </c>
      <c r="AH186" s="342">
        <v>10</v>
      </c>
      <c r="AI186" s="346">
        <v>5352.5175133299999</v>
      </c>
      <c r="AJ186" s="347">
        <f t="shared" si="7"/>
        <v>0.12287689424540862</v>
      </c>
      <c r="AK186" s="347" t="str">
        <f t="shared" si="8"/>
        <v>SLR not in FZ</v>
      </c>
    </row>
    <row r="187" spans="1:37">
      <c r="A187" s="342">
        <v>473</v>
      </c>
      <c r="B187" s="342" t="s">
        <v>1119</v>
      </c>
      <c r="C187" s="342" t="s">
        <v>1119</v>
      </c>
      <c r="D187" s="342" t="s">
        <v>1120</v>
      </c>
      <c r="E187" s="342" t="s">
        <v>1121</v>
      </c>
      <c r="F187" s="342"/>
      <c r="G187" s="343">
        <v>0</v>
      </c>
      <c r="H187" s="342" t="s">
        <v>388</v>
      </c>
      <c r="I187" s="342" t="s">
        <v>307</v>
      </c>
      <c r="J187" s="342" t="s">
        <v>1122</v>
      </c>
      <c r="K187" s="342"/>
      <c r="L187" s="342" t="s">
        <v>309</v>
      </c>
      <c r="M187" s="342" t="s">
        <v>310</v>
      </c>
      <c r="N187" s="342">
        <v>36939</v>
      </c>
      <c r="O187" s="342">
        <v>36348</v>
      </c>
      <c r="P187" s="342">
        <v>0</v>
      </c>
      <c r="Q187" s="342" t="s">
        <v>423</v>
      </c>
      <c r="R187" s="342">
        <v>1</v>
      </c>
      <c r="S187" s="342">
        <v>1</v>
      </c>
      <c r="T187" s="342" t="s">
        <v>1123</v>
      </c>
      <c r="U187" s="342">
        <v>10000</v>
      </c>
      <c r="V187" s="342">
        <v>0</v>
      </c>
      <c r="W187" s="342">
        <v>2</v>
      </c>
      <c r="X187" s="342">
        <v>0</v>
      </c>
      <c r="Y187" s="342" t="s">
        <v>425</v>
      </c>
      <c r="Z187" s="342" t="str">
        <f t="shared" si="12"/>
        <v>Duplex, Triplex, Fourplex</v>
      </c>
      <c r="AA187" s="342" t="s">
        <v>300</v>
      </c>
      <c r="AB187" s="342" t="s">
        <v>301</v>
      </c>
      <c r="AC187" s="342" t="s">
        <v>351</v>
      </c>
      <c r="AD187" s="342" t="s">
        <v>678</v>
      </c>
      <c r="AE187" s="343">
        <v>-9999</v>
      </c>
      <c r="AF187" s="345">
        <v>10</v>
      </c>
      <c r="AG187" s="342">
        <v>6</v>
      </c>
      <c r="AH187" s="342">
        <v>10</v>
      </c>
      <c r="AI187" s="346">
        <v>9816.3002044700006</v>
      </c>
      <c r="AJ187" s="347">
        <f t="shared" si="7"/>
        <v>0.22535124436340681</v>
      </c>
      <c r="AK187" s="347" t="str">
        <f t="shared" si="8"/>
        <v>SLR not in FZ</v>
      </c>
    </row>
    <row r="188" spans="1:37">
      <c r="A188" s="342">
        <v>1445</v>
      </c>
      <c r="B188" s="342" t="s">
        <v>1124</v>
      </c>
      <c r="C188" s="342" t="s">
        <v>1124</v>
      </c>
      <c r="D188" s="342" t="s">
        <v>1125</v>
      </c>
      <c r="E188" s="342" t="s">
        <v>1126</v>
      </c>
      <c r="F188" s="342"/>
      <c r="G188" s="343">
        <v>0</v>
      </c>
      <c r="H188" s="342" t="s">
        <v>1025</v>
      </c>
      <c r="I188" s="342" t="s">
        <v>307</v>
      </c>
      <c r="J188" s="342" t="s">
        <v>1127</v>
      </c>
      <c r="K188" s="342"/>
      <c r="L188" s="342" t="s">
        <v>369</v>
      </c>
      <c r="M188" s="342" t="s">
        <v>370</v>
      </c>
      <c r="N188" s="342">
        <v>32478</v>
      </c>
      <c r="O188" s="342">
        <v>10610</v>
      </c>
      <c r="P188" s="342">
        <v>0</v>
      </c>
      <c r="Q188" s="342" t="s">
        <v>423</v>
      </c>
      <c r="R188" s="342">
        <v>1</v>
      </c>
      <c r="S188" s="342">
        <v>1</v>
      </c>
      <c r="T188" s="342" t="s">
        <v>1128</v>
      </c>
      <c r="U188" s="342">
        <v>5650</v>
      </c>
      <c r="V188" s="342">
        <v>0</v>
      </c>
      <c r="W188" s="342">
        <v>2</v>
      </c>
      <c r="X188" s="342">
        <v>0</v>
      </c>
      <c r="Y188" s="342" t="s">
        <v>425</v>
      </c>
      <c r="Z188" s="342" t="str">
        <f t="shared" si="12"/>
        <v>Duplex, Triplex, Fourplex</v>
      </c>
      <c r="AA188" s="342" t="s">
        <v>300</v>
      </c>
      <c r="AB188" s="342" t="s">
        <v>301</v>
      </c>
      <c r="AC188" s="342" t="s">
        <v>351</v>
      </c>
      <c r="AD188" s="342" t="s">
        <v>678</v>
      </c>
      <c r="AE188" s="343">
        <v>-9999</v>
      </c>
      <c r="AF188" s="345">
        <v>10</v>
      </c>
      <c r="AG188" s="342">
        <v>6</v>
      </c>
      <c r="AH188" s="342">
        <v>10</v>
      </c>
      <c r="AI188" s="346">
        <v>5642.0042549199998</v>
      </c>
      <c r="AJ188" s="347">
        <f t="shared" si="7"/>
        <v>0.12952259538383837</v>
      </c>
      <c r="AK188" s="347" t="str">
        <f t="shared" si="8"/>
        <v>SLR not in FZ</v>
      </c>
    </row>
    <row r="189" spans="1:37">
      <c r="A189" s="342">
        <v>1461</v>
      </c>
      <c r="B189" s="342" t="s">
        <v>1129</v>
      </c>
      <c r="C189" s="342" t="s">
        <v>1129</v>
      </c>
      <c r="D189" s="342" t="s">
        <v>1130</v>
      </c>
      <c r="E189" s="342" t="s">
        <v>1131</v>
      </c>
      <c r="F189" s="342"/>
      <c r="G189" s="343">
        <v>0</v>
      </c>
      <c r="H189" s="342" t="s">
        <v>1132</v>
      </c>
      <c r="I189" s="342" t="s">
        <v>307</v>
      </c>
      <c r="J189" s="342" t="s">
        <v>1133</v>
      </c>
      <c r="K189" s="342"/>
      <c r="L189" s="342" t="s">
        <v>369</v>
      </c>
      <c r="M189" s="342" t="s">
        <v>370</v>
      </c>
      <c r="N189" s="342">
        <v>51231</v>
      </c>
      <c r="O189" s="342">
        <v>34325</v>
      </c>
      <c r="P189" s="342">
        <v>0</v>
      </c>
      <c r="Q189" s="342" t="s">
        <v>423</v>
      </c>
      <c r="R189" s="342">
        <v>1</v>
      </c>
      <c r="S189" s="342">
        <v>1</v>
      </c>
      <c r="T189" s="342" t="s">
        <v>1134</v>
      </c>
      <c r="U189" s="342">
        <v>5000</v>
      </c>
      <c r="V189" s="342">
        <v>0</v>
      </c>
      <c r="W189" s="342">
        <v>2</v>
      </c>
      <c r="X189" s="342">
        <v>0</v>
      </c>
      <c r="Y189" s="342" t="s">
        <v>425</v>
      </c>
      <c r="Z189" s="342" t="str">
        <f t="shared" si="12"/>
        <v>Duplex, Triplex, Fourplex</v>
      </c>
      <c r="AA189" s="342" t="s">
        <v>300</v>
      </c>
      <c r="AB189" s="342" t="s">
        <v>301</v>
      </c>
      <c r="AC189" s="342" t="s">
        <v>351</v>
      </c>
      <c r="AD189" s="342" t="s">
        <v>678</v>
      </c>
      <c r="AE189" s="343">
        <v>-9999</v>
      </c>
      <c r="AF189" s="345">
        <v>10</v>
      </c>
      <c r="AG189" s="342">
        <v>6</v>
      </c>
      <c r="AH189" s="342">
        <v>10</v>
      </c>
      <c r="AI189" s="346">
        <v>4901.2765126900003</v>
      </c>
      <c r="AJ189" s="347">
        <f t="shared" si="7"/>
        <v>0.11251782627846649</v>
      </c>
      <c r="AK189" s="347" t="str">
        <f t="shared" si="8"/>
        <v>SLR not in FZ</v>
      </c>
    </row>
    <row r="190" spans="1:37">
      <c r="A190" s="342">
        <v>1442</v>
      </c>
      <c r="B190" s="342" t="s">
        <v>1135</v>
      </c>
      <c r="C190" s="342" t="s">
        <v>1135</v>
      </c>
      <c r="D190" s="342" t="s">
        <v>1136</v>
      </c>
      <c r="E190" s="342" t="s">
        <v>1137</v>
      </c>
      <c r="F190" s="342"/>
      <c r="G190" s="343">
        <v>0</v>
      </c>
      <c r="H190" s="342" t="s">
        <v>1132</v>
      </c>
      <c r="I190" s="342" t="s">
        <v>307</v>
      </c>
      <c r="J190" s="342" t="s">
        <v>1138</v>
      </c>
      <c r="K190" s="342"/>
      <c r="L190" s="342" t="s">
        <v>369</v>
      </c>
      <c r="M190" s="342" t="s">
        <v>370</v>
      </c>
      <c r="N190" s="342">
        <v>63178</v>
      </c>
      <c r="O190" s="342">
        <v>168477</v>
      </c>
      <c r="P190" s="342">
        <v>0</v>
      </c>
      <c r="Q190" s="342" t="s">
        <v>298</v>
      </c>
      <c r="R190" s="342">
        <v>1</v>
      </c>
      <c r="S190" s="342">
        <v>1</v>
      </c>
      <c r="T190" s="342"/>
      <c r="U190" s="342">
        <v>0</v>
      </c>
      <c r="V190" s="342">
        <v>2</v>
      </c>
      <c r="W190" s="342">
        <v>4</v>
      </c>
      <c r="X190" s="342">
        <v>2624</v>
      </c>
      <c r="Y190" s="342" t="s">
        <v>517</v>
      </c>
      <c r="Z190" s="342" t="str">
        <f t="shared" si="12"/>
        <v>Duplex, Triplex, Fourplex</v>
      </c>
      <c r="AA190" s="342" t="s">
        <v>300</v>
      </c>
      <c r="AB190" s="342" t="s">
        <v>301</v>
      </c>
      <c r="AC190" s="342" t="s">
        <v>351</v>
      </c>
      <c r="AD190" s="342" t="s">
        <v>678</v>
      </c>
      <c r="AE190" s="343">
        <v>-9999</v>
      </c>
      <c r="AF190" s="345">
        <v>10</v>
      </c>
      <c r="AG190" s="342">
        <v>6</v>
      </c>
      <c r="AH190" s="342">
        <v>10</v>
      </c>
      <c r="AI190" s="346">
        <v>5708.1865865500004</v>
      </c>
      <c r="AJ190" s="347">
        <f t="shared" si="7"/>
        <v>0.13104193265725436</v>
      </c>
      <c r="AK190" s="347" t="str">
        <f t="shared" si="8"/>
        <v>SLR not in FZ</v>
      </c>
    </row>
    <row r="191" spans="1:37">
      <c r="A191" s="342">
        <v>1443</v>
      </c>
      <c r="B191" s="342" t="s">
        <v>1139</v>
      </c>
      <c r="C191" s="342" t="s">
        <v>1139</v>
      </c>
      <c r="D191" s="342" t="s">
        <v>1140</v>
      </c>
      <c r="E191" s="342" t="s">
        <v>1141</v>
      </c>
      <c r="F191" s="342"/>
      <c r="G191" s="343">
        <v>0</v>
      </c>
      <c r="H191" s="342" t="s">
        <v>1132</v>
      </c>
      <c r="I191" s="342" t="s">
        <v>307</v>
      </c>
      <c r="J191" s="342" t="s">
        <v>1142</v>
      </c>
      <c r="K191" s="342"/>
      <c r="L191" s="342" t="s">
        <v>369</v>
      </c>
      <c r="M191" s="342" t="s">
        <v>370</v>
      </c>
      <c r="N191" s="342">
        <v>31587</v>
      </c>
      <c r="O191" s="342">
        <v>89503</v>
      </c>
      <c r="P191" s="342">
        <v>0</v>
      </c>
      <c r="Q191" s="342" t="s">
        <v>298</v>
      </c>
      <c r="R191" s="342">
        <v>1</v>
      </c>
      <c r="S191" s="342">
        <v>1</v>
      </c>
      <c r="T191" s="342"/>
      <c r="U191" s="342">
        <v>0</v>
      </c>
      <c r="V191" s="342">
        <v>2</v>
      </c>
      <c r="W191" s="342">
        <v>4</v>
      </c>
      <c r="X191" s="342">
        <v>2560</v>
      </c>
      <c r="Y191" s="342" t="s">
        <v>517</v>
      </c>
      <c r="Z191" s="342" t="str">
        <f t="shared" si="12"/>
        <v>Duplex, Triplex, Fourplex</v>
      </c>
      <c r="AA191" s="342" t="s">
        <v>300</v>
      </c>
      <c r="AB191" s="342" t="s">
        <v>301</v>
      </c>
      <c r="AC191" s="342" t="s">
        <v>351</v>
      </c>
      <c r="AD191" s="342" t="s">
        <v>678</v>
      </c>
      <c r="AE191" s="343">
        <v>-9999</v>
      </c>
      <c r="AF191" s="345">
        <v>10</v>
      </c>
      <c r="AG191" s="342">
        <v>6</v>
      </c>
      <c r="AH191" s="342">
        <v>10</v>
      </c>
      <c r="AI191" s="346">
        <v>5482.1316843200002</v>
      </c>
      <c r="AJ191" s="347">
        <f t="shared" si="7"/>
        <v>0.1258524261781451</v>
      </c>
      <c r="AK191" s="347" t="str">
        <f t="shared" si="8"/>
        <v>SLR not in FZ</v>
      </c>
    </row>
    <row r="192" spans="1:37">
      <c r="A192" s="342">
        <v>1447</v>
      </c>
      <c r="B192" s="342" t="s">
        <v>1143</v>
      </c>
      <c r="C192" s="342" t="s">
        <v>1143</v>
      </c>
      <c r="D192" s="342" t="s">
        <v>1144</v>
      </c>
      <c r="E192" s="342" t="s">
        <v>1145</v>
      </c>
      <c r="F192" s="342"/>
      <c r="G192" s="343">
        <v>0</v>
      </c>
      <c r="H192" s="342" t="s">
        <v>1025</v>
      </c>
      <c r="I192" s="342" t="s">
        <v>307</v>
      </c>
      <c r="J192" s="342" t="s">
        <v>1146</v>
      </c>
      <c r="K192" s="342"/>
      <c r="L192" s="342" t="s">
        <v>369</v>
      </c>
      <c r="M192" s="342" t="s">
        <v>370</v>
      </c>
      <c r="N192" s="342">
        <v>13432</v>
      </c>
      <c r="O192" s="342">
        <v>44191</v>
      </c>
      <c r="P192" s="342">
        <v>0</v>
      </c>
      <c r="Q192" s="342" t="s">
        <v>298</v>
      </c>
      <c r="R192" s="342">
        <v>1</v>
      </c>
      <c r="S192" s="342">
        <v>1</v>
      </c>
      <c r="T192" s="342"/>
      <c r="U192" s="342">
        <v>0</v>
      </c>
      <c r="V192" s="342">
        <v>2</v>
      </c>
      <c r="W192" s="342">
        <v>4</v>
      </c>
      <c r="X192" s="342">
        <v>3004</v>
      </c>
      <c r="Y192" s="342" t="s">
        <v>517</v>
      </c>
      <c r="Z192" s="342" t="str">
        <f t="shared" si="12"/>
        <v>Duplex, Triplex, Fourplex</v>
      </c>
      <c r="AA192" s="342" t="s">
        <v>300</v>
      </c>
      <c r="AB192" s="342" t="s">
        <v>301</v>
      </c>
      <c r="AC192" s="342" t="s">
        <v>351</v>
      </c>
      <c r="AD192" s="342" t="s">
        <v>678</v>
      </c>
      <c r="AE192" s="343">
        <v>-9999</v>
      </c>
      <c r="AF192" s="345">
        <v>10</v>
      </c>
      <c r="AG192" s="342">
        <v>6</v>
      </c>
      <c r="AH192" s="342">
        <v>10</v>
      </c>
      <c r="AI192" s="346">
        <v>5723.9255553599996</v>
      </c>
      <c r="AJ192" s="347">
        <f t="shared" si="7"/>
        <v>0.13140324966391184</v>
      </c>
      <c r="AK192" s="347" t="str">
        <f t="shared" si="8"/>
        <v>SLR not in FZ</v>
      </c>
    </row>
    <row r="193" spans="1:37">
      <c r="A193" s="342">
        <v>1450</v>
      </c>
      <c r="B193" s="342" t="s">
        <v>1147</v>
      </c>
      <c r="C193" s="342" t="s">
        <v>1147</v>
      </c>
      <c r="D193" s="342" t="s">
        <v>1148</v>
      </c>
      <c r="E193" s="342" t="s">
        <v>1149</v>
      </c>
      <c r="F193" s="342"/>
      <c r="G193" s="343">
        <v>0</v>
      </c>
      <c r="H193" s="342" t="s">
        <v>1067</v>
      </c>
      <c r="I193" s="342" t="s">
        <v>294</v>
      </c>
      <c r="J193" s="342" t="s">
        <v>295</v>
      </c>
      <c r="K193" s="342"/>
      <c r="L193" s="342" t="s">
        <v>369</v>
      </c>
      <c r="M193" s="342" t="s">
        <v>370</v>
      </c>
      <c r="N193" s="342">
        <v>40644</v>
      </c>
      <c r="O193" s="342">
        <v>86471</v>
      </c>
      <c r="P193" s="342">
        <v>0</v>
      </c>
      <c r="Q193" s="342" t="s">
        <v>298</v>
      </c>
      <c r="R193" s="342">
        <v>1</v>
      </c>
      <c r="S193" s="342">
        <v>1</v>
      </c>
      <c r="T193" s="342"/>
      <c r="U193" s="342">
        <v>0</v>
      </c>
      <c r="V193" s="342">
        <v>2</v>
      </c>
      <c r="W193" s="342">
        <v>4</v>
      </c>
      <c r="X193" s="342">
        <v>3079</v>
      </c>
      <c r="Y193" s="342" t="s">
        <v>517</v>
      </c>
      <c r="Z193" s="342" t="str">
        <f t="shared" si="12"/>
        <v>Duplex, Triplex, Fourplex</v>
      </c>
      <c r="AA193" s="342" t="s">
        <v>300</v>
      </c>
      <c r="AB193" s="342" t="s">
        <v>301</v>
      </c>
      <c r="AC193" s="342" t="s">
        <v>351</v>
      </c>
      <c r="AD193" s="342" t="s">
        <v>678</v>
      </c>
      <c r="AE193" s="343">
        <v>-9999</v>
      </c>
      <c r="AF193" s="345">
        <v>10</v>
      </c>
      <c r="AG193" s="342">
        <v>6</v>
      </c>
      <c r="AH193" s="342">
        <v>10</v>
      </c>
      <c r="AI193" s="346">
        <v>5094.8726282199996</v>
      </c>
      <c r="AJ193" s="347">
        <f t="shared" si="7"/>
        <v>0.11696218154775022</v>
      </c>
      <c r="AK193" s="347" t="str">
        <f t="shared" si="8"/>
        <v>SLR not in FZ</v>
      </c>
    </row>
    <row r="194" spans="1:37">
      <c r="A194" s="342">
        <v>1451</v>
      </c>
      <c r="B194" s="342" t="s">
        <v>1150</v>
      </c>
      <c r="C194" s="342" t="s">
        <v>1150</v>
      </c>
      <c r="D194" s="342" t="s">
        <v>1151</v>
      </c>
      <c r="E194" s="342" t="s">
        <v>1152</v>
      </c>
      <c r="F194" s="342"/>
      <c r="G194" s="343">
        <v>0</v>
      </c>
      <c r="H194" s="342" t="s">
        <v>1067</v>
      </c>
      <c r="I194" s="342" t="s">
        <v>294</v>
      </c>
      <c r="J194" s="342" t="s">
        <v>1153</v>
      </c>
      <c r="K194" s="342"/>
      <c r="L194" s="342" t="s">
        <v>369</v>
      </c>
      <c r="M194" s="342" t="s">
        <v>370</v>
      </c>
      <c r="N194" s="342">
        <v>165000</v>
      </c>
      <c r="O194" s="342">
        <v>350000</v>
      </c>
      <c r="P194" s="342">
        <v>0</v>
      </c>
      <c r="Q194" s="342" t="s">
        <v>298</v>
      </c>
      <c r="R194" s="342">
        <v>1</v>
      </c>
      <c r="S194" s="342">
        <v>1</v>
      </c>
      <c r="T194" s="342"/>
      <c r="U194" s="342">
        <v>0</v>
      </c>
      <c r="V194" s="342">
        <v>2</v>
      </c>
      <c r="W194" s="342">
        <v>4</v>
      </c>
      <c r="X194" s="342">
        <v>3282</v>
      </c>
      <c r="Y194" s="342" t="s">
        <v>517</v>
      </c>
      <c r="Z194" s="342" t="str">
        <f t="shared" si="12"/>
        <v>Duplex, Triplex, Fourplex</v>
      </c>
      <c r="AA194" s="342" t="s">
        <v>300</v>
      </c>
      <c r="AB194" s="342" t="s">
        <v>301</v>
      </c>
      <c r="AC194" s="342" t="s">
        <v>351</v>
      </c>
      <c r="AD194" s="342" t="s">
        <v>678</v>
      </c>
      <c r="AE194" s="343">
        <v>-9999</v>
      </c>
      <c r="AF194" s="345">
        <v>10</v>
      </c>
      <c r="AG194" s="342">
        <v>6</v>
      </c>
      <c r="AH194" s="342">
        <v>10</v>
      </c>
      <c r="AI194" s="346">
        <v>4933.6931164999996</v>
      </c>
      <c r="AJ194" s="347">
        <f t="shared" ref="AJ194:AJ198" si="13">AI194/43560</f>
        <v>0.1132620091023875</v>
      </c>
      <c r="AK194" s="347" t="str">
        <f t="shared" ref="AK194:AK230" si="14">IF(AF194=10,IF(AG194=10,"SLR Adjacent","SLR not in FZ"),IF(AG194=10,"FZ no SLR","FZ with SLR"))</f>
        <v>SLR not in FZ</v>
      </c>
    </row>
    <row r="195" spans="1:37">
      <c r="A195" s="342">
        <v>1453</v>
      </c>
      <c r="B195" s="342" t="s">
        <v>1154</v>
      </c>
      <c r="C195" s="342" t="s">
        <v>1154</v>
      </c>
      <c r="D195" s="342" t="s">
        <v>1155</v>
      </c>
      <c r="E195" s="342" t="s">
        <v>1156</v>
      </c>
      <c r="F195" s="342"/>
      <c r="G195" s="343">
        <v>0</v>
      </c>
      <c r="H195" s="342" t="s">
        <v>1067</v>
      </c>
      <c r="I195" s="342" t="s">
        <v>294</v>
      </c>
      <c r="J195" s="342" t="s">
        <v>1157</v>
      </c>
      <c r="K195" s="342"/>
      <c r="L195" s="342" t="s">
        <v>369</v>
      </c>
      <c r="M195" s="342" t="s">
        <v>370</v>
      </c>
      <c r="N195" s="342">
        <v>31353</v>
      </c>
      <c r="O195" s="342">
        <v>229927</v>
      </c>
      <c r="P195" s="342">
        <v>0</v>
      </c>
      <c r="Q195" s="342" t="s">
        <v>298</v>
      </c>
      <c r="R195" s="342">
        <v>1</v>
      </c>
      <c r="S195" s="342">
        <v>1</v>
      </c>
      <c r="T195" s="342"/>
      <c r="U195" s="342">
        <v>0</v>
      </c>
      <c r="V195" s="342">
        <v>2</v>
      </c>
      <c r="W195" s="342">
        <v>4</v>
      </c>
      <c r="X195" s="342">
        <v>3282</v>
      </c>
      <c r="Y195" s="342" t="s">
        <v>517</v>
      </c>
      <c r="Z195" s="342" t="str">
        <f t="shared" si="12"/>
        <v>Duplex, Triplex, Fourplex</v>
      </c>
      <c r="AA195" s="342" t="s">
        <v>300</v>
      </c>
      <c r="AB195" s="342" t="s">
        <v>301</v>
      </c>
      <c r="AC195" s="342" t="s">
        <v>351</v>
      </c>
      <c r="AD195" s="342" t="s">
        <v>678</v>
      </c>
      <c r="AE195" s="343">
        <v>-9999</v>
      </c>
      <c r="AF195" s="345">
        <v>10</v>
      </c>
      <c r="AG195" s="342">
        <v>6</v>
      </c>
      <c r="AH195" s="342">
        <v>10</v>
      </c>
      <c r="AI195" s="346">
        <v>5071.5174329700003</v>
      </c>
      <c r="AJ195" s="347">
        <f t="shared" si="13"/>
        <v>0.11642602004063361</v>
      </c>
      <c r="AK195" s="347" t="str">
        <f t="shared" si="14"/>
        <v>SLR not in FZ</v>
      </c>
    </row>
    <row r="196" spans="1:37">
      <c r="A196" s="342">
        <v>1454</v>
      </c>
      <c r="B196" s="342" t="s">
        <v>1158</v>
      </c>
      <c r="C196" s="342" t="s">
        <v>1158</v>
      </c>
      <c r="D196" s="342" t="s">
        <v>700</v>
      </c>
      <c r="E196" s="342" t="s">
        <v>1159</v>
      </c>
      <c r="F196" s="342"/>
      <c r="G196" s="343">
        <v>0</v>
      </c>
      <c r="H196" s="342" t="s">
        <v>1062</v>
      </c>
      <c r="I196" s="342" t="s">
        <v>307</v>
      </c>
      <c r="J196" s="342" t="s">
        <v>1160</v>
      </c>
      <c r="K196" s="342"/>
      <c r="L196" s="342" t="s">
        <v>369</v>
      </c>
      <c r="M196" s="342" t="s">
        <v>370</v>
      </c>
      <c r="N196" s="342">
        <v>35862</v>
      </c>
      <c r="O196" s="342">
        <v>174187</v>
      </c>
      <c r="P196" s="342">
        <v>0</v>
      </c>
      <c r="Q196" s="342" t="s">
        <v>298</v>
      </c>
      <c r="R196" s="342">
        <v>1</v>
      </c>
      <c r="S196" s="342">
        <v>1</v>
      </c>
      <c r="T196" s="342"/>
      <c r="U196" s="342">
        <v>0</v>
      </c>
      <c r="V196" s="342">
        <v>2</v>
      </c>
      <c r="W196" s="342">
        <v>4</v>
      </c>
      <c r="X196" s="342">
        <v>3004</v>
      </c>
      <c r="Y196" s="342" t="s">
        <v>517</v>
      </c>
      <c r="Z196" s="342" t="str">
        <f t="shared" si="12"/>
        <v>Duplex, Triplex, Fourplex</v>
      </c>
      <c r="AA196" s="342" t="s">
        <v>300</v>
      </c>
      <c r="AB196" s="342" t="s">
        <v>301</v>
      </c>
      <c r="AC196" s="342" t="s">
        <v>351</v>
      </c>
      <c r="AD196" s="342" t="s">
        <v>678</v>
      </c>
      <c r="AE196" s="343">
        <v>-9999</v>
      </c>
      <c r="AF196" s="345">
        <v>10</v>
      </c>
      <c r="AG196" s="342">
        <v>6</v>
      </c>
      <c r="AH196" s="342">
        <v>10</v>
      </c>
      <c r="AI196" s="346">
        <v>5726.5269263600003</v>
      </c>
      <c r="AJ196" s="347">
        <f t="shared" si="13"/>
        <v>0.13146296892470158</v>
      </c>
      <c r="AK196" s="347" t="str">
        <f t="shared" si="14"/>
        <v>SLR not in FZ</v>
      </c>
    </row>
    <row r="197" spans="1:37">
      <c r="A197" s="342">
        <v>1455</v>
      </c>
      <c r="B197" s="342" t="s">
        <v>1161</v>
      </c>
      <c r="C197" s="342" t="s">
        <v>1161</v>
      </c>
      <c r="D197" s="342" t="s">
        <v>1162</v>
      </c>
      <c r="E197" s="342" t="s">
        <v>1163</v>
      </c>
      <c r="F197" s="342"/>
      <c r="G197" s="343">
        <v>0</v>
      </c>
      <c r="H197" s="342" t="s">
        <v>1067</v>
      </c>
      <c r="I197" s="342" t="s">
        <v>294</v>
      </c>
      <c r="J197" s="342" t="s">
        <v>1164</v>
      </c>
      <c r="K197" s="342"/>
      <c r="L197" s="342" t="s">
        <v>369</v>
      </c>
      <c r="M197" s="342" t="s">
        <v>370</v>
      </c>
      <c r="N197" s="342">
        <v>21059</v>
      </c>
      <c r="O197" s="342">
        <v>94767</v>
      </c>
      <c r="P197" s="342">
        <v>0</v>
      </c>
      <c r="Q197" s="342" t="s">
        <v>298</v>
      </c>
      <c r="R197" s="342">
        <v>1</v>
      </c>
      <c r="S197" s="342">
        <v>1</v>
      </c>
      <c r="T197" s="342"/>
      <c r="U197" s="342">
        <v>0</v>
      </c>
      <c r="V197" s="342">
        <v>2</v>
      </c>
      <c r="W197" s="342">
        <v>4</v>
      </c>
      <c r="X197" s="342">
        <v>3282</v>
      </c>
      <c r="Y197" s="342" t="s">
        <v>517</v>
      </c>
      <c r="Z197" s="342" t="str">
        <f t="shared" si="12"/>
        <v>Duplex, Triplex, Fourplex</v>
      </c>
      <c r="AA197" s="342" t="s">
        <v>300</v>
      </c>
      <c r="AB197" s="342" t="s">
        <v>301</v>
      </c>
      <c r="AC197" s="342" t="s">
        <v>351</v>
      </c>
      <c r="AD197" s="342" t="s">
        <v>678</v>
      </c>
      <c r="AE197" s="343">
        <v>-9999</v>
      </c>
      <c r="AF197" s="345">
        <v>10</v>
      </c>
      <c r="AG197" s="342">
        <v>6</v>
      </c>
      <c r="AH197" s="342">
        <v>10</v>
      </c>
      <c r="AI197" s="346">
        <v>4837.5315408699998</v>
      </c>
      <c r="AJ197" s="347">
        <f t="shared" si="13"/>
        <v>0.11105444308700642</v>
      </c>
      <c r="AK197" s="347" t="str">
        <f t="shared" si="14"/>
        <v>SLR not in FZ</v>
      </c>
    </row>
    <row r="198" spans="1:37">
      <c r="A198" s="342">
        <v>1456</v>
      </c>
      <c r="B198" s="342" t="s">
        <v>1165</v>
      </c>
      <c r="C198" s="342" t="s">
        <v>1165</v>
      </c>
      <c r="D198" s="342" t="s">
        <v>1162</v>
      </c>
      <c r="E198" s="342" t="s">
        <v>1166</v>
      </c>
      <c r="F198" s="342"/>
      <c r="G198" s="343">
        <v>0</v>
      </c>
      <c r="H198" s="342" t="s">
        <v>1067</v>
      </c>
      <c r="I198" s="342" t="s">
        <v>294</v>
      </c>
      <c r="J198" s="342" t="s">
        <v>1167</v>
      </c>
      <c r="K198" s="342"/>
      <c r="L198" s="342" t="s">
        <v>369</v>
      </c>
      <c r="M198" s="342" t="s">
        <v>370</v>
      </c>
      <c r="N198" s="342">
        <v>29411</v>
      </c>
      <c r="O198" s="342">
        <v>70381</v>
      </c>
      <c r="P198" s="342">
        <v>0</v>
      </c>
      <c r="Q198" s="342" t="s">
        <v>298</v>
      </c>
      <c r="R198" s="342">
        <v>1</v>
      </c>
      <c r="S198" s="342">
        <v>1</v>
      </c>
      <c r="T198" s="342"/>
      <c r="U198" s="342">
        <v>0</v>
      </c>
      <c r="V198" s="342">
        <v>2</v>
      </c>
      <c r="W198" s="342">
        <v>4</v>
      </c>
      <c r="X198" s="342">
        <v>3282</v>
      </c>
      <c r="Y198" s="342" t="s">
        <v>517</v>
      </c>
      <c r="Z198" s="342" t="str">
        <f t="shared" si="12"/>
        <v>Duplex, Triplex, Fourplex</v>
      </c>
      <c r="AA198" s="342" t="s">
        <v>300</v>
      </c>
      <c r="AB198" s="342" t="s">
        <v>301</v>
      </c>
      <c r="AC198" s="342" t="s">
        <v>351</v>
      </c>
      <c r="AD198" s="342" t="s">
        <v>678</v>
      </c>
      <c r="AE198" s="343">
        <v>-9999</v>
      </c>
      <c r="AF198" s="345">
        <v>10</v>
      </c>
      <c r="AG198" s="342">
        <v>6</v>
      </c>
      <c r="AH198" s="342">
        <v>10</v>
      </c>
      <c r="AI198" s="346">
        <v>5087.9149649700003</v>
      </c>
      <c r="AJ198" s="347">
        <f t="shared" si="13"/>
        <v>0.11680245557782369</v>
      </c>
      <c r="AK198" s="347" t="str">
        <f t="shared" si="14"/>
        <v>SLR not in FZ</v>
      </c>
    </row>
    <row r="200" spans="1:37" s="46" customFormat="1">
      <c r="A200" s="348"/>
      <c r="B200" s="348"/>
      <c r="C200" s="348"/>
      <c r="D200" s="348"/>
      <c r="E200" s="348"/>
      <c r="F200" s="348"/>
      <c r="G200" s="349"/>
      <c r="H200" s="348"/>
      <c r="I200" s="348"/>
      <c r="J200" s="348"/>
      <c r="K200" s="348"/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>
        <f>SUM(W2:W198)</f>
        <v>949</v>
      </c>
      <c r="X200" s="348"/>
      <c r="Y200" s="348"/>
      <c r="Z200" s="348"/>
      <c r="AA200" s="348"/>
      <c r="AB200" s="348"/>
      <c r="AC200" s="348"/>
      <c r="AD200" s="348"/>
      <c r="AE200" s="349"/>
      <c r="AF200" s="261"/>
      <c r="AG200" s="348"/>
      <c r="AH200" s="348"/>
      <c r="AI200" s="350"/>
      <c r="AJ200" s="46">
        <f>SUM(AJ2:AJ198)</f>
        <v>87.742221273539201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0"/>
  <sheetViews>
    <sheetView topLeftCell="A179" workbookViewId="0">
      <pane xSplit="1" topLeftCell="CY1" activePane="topRight" state="frozen"/>
      <selection activeCell="A39" sqref="A39"/>
      <selection pane="topRight" activeCell="A39" sqref="A39"/>
    </sheetView>
  </sheetViews>
  <sheetFormatPr baseColWidth="10" defaultColWidth="8.83203125" defaultRowHeight="14" x14ac:dyDescent="0"/>
  <cols>
    <col min="1" max="8" width="9.6640625" style="204" customWidth="1"/>
    <col min="9" max="9" width="8.6640625" style="4" customWidth="1"/>
    <col min="10" max="10" width="10.6640625" style="204" customWidth="1"/>
    <col min="11" max="11" width="5.6640625" style="204" customWidth="1"/>
    <col min="12" max="12" width="1.6640625" style="204" customWidth="1"/>
    <col min="13" max="13" width="30.6640625" style="204" customWidth="1"/>
    <col min="14" max="14" width="19.6640625" style="353" customWidth="1"/>
    <col min="15" max="15" width="30.6640625" style="204" customWidth="1"/>
    <col min="16" max="16" width="45.6640625" style="204" customWidth="1"/>
    <col min="17" max="18" width="1.6640625" style="204" customWidth="1"/>
    <col min="19" max="19" width="19.6640625" style="353" customWidth="1"/>
    <col min="20" max="20" width="30.6640625" style="204" customWidth="1"/>
    <col min="21" max="21" width="4.6640625" style="204" customWidth="1"/>
    <col min="22" max="22" width="1.6640625" style="204" customWidth="1"/>
    <col min="23" max="23" width="5.6640625" style="204" customWidth="1"/>
    <col min="24" max="24" width="4.6640625" style="204" customWidth="1"/>
    <col min="25" max="25" width="9.6640625" style="204" customWidth="1"/>
    <col min="26" max="27" width="5.6640625" style="204" customWidth="1"/>
    <col min="28" max="30" width="4.6640625" style="204" customWidth="1"/>
    <col min="31" max="33" width="19.6640625" style="353" customWidth="1"/>
    <col min="34" max="34" width="1.6640625" style="204" customWidth="1"/>
    <col min="35" max="39" width="19.6640625" style="353" customWidth="1"/>
    <col min="40" max="42" width="1.6640625" style="204" customWidth="1"/>
    <col min="43" max="43" width="19.6640625" style="353" customWidth="1"/>
    <col min="44" max="47" width="1.6640625" style="204" customWidth="1"/>
    <col min="48" max="48" width="4.6640625" style="204" customWidth="1"/>
    <col min="49" max="53" width="1.6640625" style="204" customWidth="1"/>
    <col min="54" max="54" width="4.6640625" style="204" customWidth="1"/>
    <col min="55" max="56" width="19.6640625" style="353" customWidth="1"/>
    <col min="57" max="57" width="4.6640625" style="204" customWidth="1"/>
    <col min="58" max="58" width="19.6640625" style="353" customWidth="1"/>
    <col min="59" max="60" width="1.6640625" style="204" customWidth="1"/>
    <col min="61" max="61" width="4.6640625" style="204" customWidth="1"/>
    <col min="62" max="62" width="8.6640625" style="204" customWidth="1"/>
    <col min="63" max="69" width="19.6640625" style="353" customWidth="1"/>
    <col min="70" max="71" width="1.6640625" style="204" customWidth="1"/>
    <col min="72" max="73" width="19.6640625" style="353" customWidth="1"/>
    <col min="74" max="77" width="1.6640625" style="204" customWidth="1"/>
    <col min="78" max="78" width="4.6640625" style="204" customWidth="1"/>
    <col min="79" max="80" width="19.6640625" style="353" customWidth="1"/>
    <col min="81" max="81" width="38.5" style="204" customWidth="1"/>
    <col min="82" max="82" width="6.6640625" style="204" customWidth="1"/>
    <col min="83" max="83" width="11.6640625" style="204" customWidth="1"/>
    <col min="84" max="84" width="32.6640625" style="204" customWidth="1"/>
    <col min="85" max="85" width="28.6640625" style="204" customWidth="1"/>
    <col min="86" max="86" width="17.6640625" style="204" customWidth="1"/>
    <col min="87" max="87" width="57.6640625" style="204" customWidth="1"/>
    <col min="88" max="88" width="1.6640625" style="204" customWidth="1"/>
    <col min="89" max="89" width="19.6640625" style="353" customWidth="1"/>
    <col min="90" max="90" width="17.6640625" style="204" customWidth="1"/>
    <col min="91" max="91" width="19.6640625" style="353" customWidth="1"/>
    <col min="92" max="92" width="16.6640625" style="204" customWidth="1"/>
    <col min="93" max="93" width="19.6640625" style="353" customWidth="1"/>
    <col min="94" max="94" width="20.6640625" style="204" customWidth="1"/>
    <col min="95" max="95" width="17.6640625" style="204" customWidth="1"/>
    <col min="96" max="96" width="57.6640625" style="204" customWidth="1"/>
    <col min="97" max="98" width="19.6640625" style="353" customWidth="1"/>
    <col min="99" max="99" width="1.6640625" style="204" customWidth="1"/>
    <col min="100" max="100" width="21.6640625" style="204" customWidth="1"/>
    <col min="101" max="101" width="19.6640625" style="353" customWidth="1"/>
    <col min="102" max="104" width="9.6640625" style="204" customWidth="1"/>
    <col min="105" max="105" width="4.6640625" style="204" customWidth="1"/>
    <col min="106" max="107" width="19.6640625" style="353" customWidth="1"/>
    <col min="108" max="108" width="4.6640625" style="204" customWidth="1"/>
    <col min="109" max="112" width="19.6640625" style="353" customWidth="1"/>
    <col min="113" max="16384" width="8.83203125" style="4"/>
  </cols>
  <sheetData>
    <row r="1" spans="1:112">
      <c r="A1" s="204" t="s">
        <v>254</v>
      </c>
      <c r="B1" s="204" t="s">
        <v>1168</v>
      </c>
      <c r="C1" s="204" t="s">
        <v>1169</v>
      </c>
      <c r="D1" s="204" t="s">
        <v>1170</v>
      </c>
      <c r="E1" s="204" t="s">
        <v>1171</v>
      </c>
      <c r="F1" s="204" t="s">
        <v>1172</v>
      </c>
      <c r="G1" s="204" t="s">
        <v>1173</v>
      </c>
      <c r="H1" s="204" t="s">
        <v>255</v>
      </c>
      <c r="I1" s="4" t="s">
        <v>1174</v>
      </c>
      <c r="J1" s="204" t="s">
        <v>256</v>
      </c>
      <c r="K1" s="204" t="s">
        <v>1175</v>
      </c>
      <c r="L1" s="204" t="s">
        <v>1176</v>
      </c>
      <c r="M1" s="204" t="s">
        <v>257</v>
      </c>
      <c r="N1" s="353" t="s">
        <v>1177</v>
      </c>
      <c r="O1" s="204" t="s">
        <v>1178</v>
      </c>
      <c r="P1" s="204" t="s">
        <v>258</v>
      </c>
      <c r="Q1" s="204" t="s">
        <v>259</v>
      </c>
      <c r="R1" s="204" t="s">
        <v>1179</v>
      </c>
      <c r="S1" s="353" t="s">
        <v>178</v>
      </c>
      <c r="T1" s="204" t="s">
        <v>260</v>
      </c>
      <c r="U1" s="204" t="s">
        <v>261</v>
      </c>
      <c r="V1" s="204" t="s">
        <v>1180</v>
      </c>
      <c r="W1" s="204" t="s">
        <v>262</v>
      </c>
      <c r="X1" s="204" t="s">
        <v>1181</v>
      </c>
      <c r="Y1" s="204" t="s">
        <v>263</v>
      </c>
      <c r="Z1" s="204" t="s">
        <v>264</v>
      </c>
      <c r="AA1" s="204" t="s">
        <v>265</v>
      </c>
      <c r="AB1" s="204" t="s">
        <v>1182</v>
      </c>
      <c r="AC1" s="204" t="s">
        <v>1183</v>
      </c>
      <c r="AD1" s="204" t="s">
        <v>1184</v>
      </c>
      <c r="AE1" s="353" t="s">
        <v>266</v>
      </c>
      <c r="AF1" s="353" t="s">
        <v>267</v>
      </c>
      <c r="AG1" s="353" t="s">
        <v>268</v>
      </c>
      <c r="AH1" s="204" t="s">
        <v>269</v>
      </c>
      <c r="AI1" s="353" t="s">
        <v>270</v>
      </c>
      <c r="AJ1" s="353" t="s">
        <v>271</v>
      </c>
      <c r="AK1" s="353" t="s">
        <v>1185</v>
      </c>
      <c r="AL1" s="353" t="s">
        <v>1186</v>
      </c>
      <c r="AM1" s="353" t="s">
        <v>1187</v>
      </c>
      <c r="AN1" s="204" t="s">
        <v>1188</v>
      </c>
      <c r="AO1" s="204" t="s">
        <v>1189</v>
      </c>
      <c r="AP1" s="204" t="s">
        <v>1190</v>
      </c>
      <c r="AQ1" s="353" t="s">
        <v>1191</v>
      </c>
      <c r="AR1" s="204" t="s">
        <v>1192</v>
      </c>
      <c r="AS1" s="204" t="s">
        <v>1193</v>
      </c>
      <c r="AT1" s="204" t="s">
        <v>1194</v>
      </c>
      <c r="AU1" s="204" t="s">
        <v>1195</v>
      </c>
      <c r="AV1" s="204" t="s">
        <v>272</v>
      </c>
      <c r="AW1" s="204" t="s">
        <v>1196</v>
      </c>
      <c r="AX1" s="204" t="s">
        <v>1197</v>
      </c>
      <c r="AY1" s="204" t="s">
        <v>1198</v>
      </c>
      <c r="AZ1" s="204" t="s">
        <v>1199</v>
      </c>
      <c r="BA1" s="204" t="s">
        <v>1200</v>
      </c>
      <c r="BB1" s="204" t="s">
        <v>1201</v>
      </c>
      <c r="BC1" s="353" t="s">
        <v>273</v>
      </c>
      <c r="BD1" s="353" t="s">
        <v>1202</v>
      </c>
      <c r="BE1" s="204" t="s">
        <v>1203</v>
      </c>
      <c r="BF1" s="353" t="s">
        <v>1204</v>
      </c>
      <c r="BG1" s="204" t="s">
        <v>1205</v>
      </c>
      <c r="BH1" s="204" t="s">
        <v>1206</v>
      </c>
      <c r="BI1" s="204" t="s">
        <v>1207</v>
      </c>
      <c r="BJ1" s="204" t="s">
        <v>1208</v>
      </c>
      <c r="BK1" s="353" t="s">
        <v>1209</v>
      </c>
      <c r="BL1" s="353" t="s">
        <v>274</v>
      </c>
      <c r="BM1" s="353" t="s">
        <v>275</v>
      </c>
      <c r="BN1" s="353" t="s">
        <v>1210</v>
      </c>
      <c r="BO1" s="353" t="s">
        <v>1211</v>
      </c>
      <c r="BP1" s="353" t="s">
        <v>1212</v>
      </c>
      <c r="BQ1" s="353" t="s">
        <v>1213</v>
      </c>
      <c r="BR1" s="204" t="s">
        <v>1214</v>
      </c>
      <c r="BS1" s="204" t="s">
        <v>1215</v>
      </c>
      <c r="BT1" s="353" t="s">
        <v>1216</v>
      </c>
      <c r="BU1" s="353" t="s">
        <v>1217</v>
      </c>
      <c r="BV1" s="204" t="s">
        <v>1218</v>
      </c>
      <c r="BW1" s="204" t="s">
        <v>1219</v>
      </c>
      <c r="BX1" s="204" t="s">
        <v>1220</v>
      </c>
      <c r="BY1" s="204" t="s">
        <v>1221</v>
      </c>
      <c r="BZ1" s="204" t="s">
        <v>1222</v>
      </c>
      <c r="CA1" s="353" t="s">
        <v>276</v>
      </c>
      <c r="CB1" s="353" t="s">
        <v>1223</v>
      </c>
      <c r="CC1" s="204" t="s">
        <v>277</v>
      </c>
      <c r="CD1" s="204" t="s">
        <v>279</v>
      </c>
      <c r="CE1" s="204" t="s">
        <v>280</v>
      </c>
      <c r="CF1" s="204" t="s">
        <v>1224</v>
      </c>
      <c r="CG1" s="204" t="s">
        <v>1225</v>
      </c>
      <c r="CH1" s="204" t="s">
        <v>284</v>
      </c>
      <c r="CI1" s="204" t="s">
        <v>281</v>
      </c>
      <c r="CJ1" s="204" t="s">
        <v>282</v>
      </c>
      <c r="CK1" s="353" t="s">
        <v>283</v>
      </c>
      <c r="CL1" s="204" t="s">
        <v>1226</v>
      </c>
      <c r="CM1" s="353" t="s">
        <v>1227</v>
      </c>
      <c r="CN1" s="204" t="s">
        <v>1228</v>
      </c>
      <c r="CO1" s="353" t="s">
        <v>1229</v>
      </c>
      <c r="CP1" s="204" t="s">
        <v>1230</v>
      </c>
      <c r="CQ1" s="204" t="s">
        <v>1231</v>
      </c>
      <c r="CR1" s="204" t="s">
        <v>1232</v>
      </c>
      <c r="CS1" s="353" t="s">
        <v>1233</v>
      </c>
      <c r="CT1" s="353" t="s">
        <v>1234</v>
      </c>
      <c r="CU1" s="204" t="s">
        <v>1235</v>
      </c>
      <c r="CV1" s="204" t="s">
        <v>1236</v>
      </c>
      <c r="CW1" s="353" t="s">
        <v>1237</v>
      </c>
      <c r="CX1" s="204" t="s">
        <v>1238</v>
      </c>
      <c r="CY1" s="204" t="s">
        <v>1239</v>
      </c>
      <c r="CZ1" s="204" t="s">
        <v>1240</v>
      </c>
      <c r="DA1" s="204" t="s">
        <v>286</v>
      </c>
      <c r="DB1" s="353" t="s">
        <v>1241</v>
      </c>
      <c r="DC1" s="353" t="s">
        <v>1242</v>
      </c>
      <c r="DD1" s="204" t="s">
        <v>285</v>
      </c>
      <c r="DE1" s="353" t="s">
        <v>1243</v>
      </c>
      <c r="DF1" s="353" t="s">
        <v>1244</v>
      </c>
      <c r="DG1" s="353" t="s">
        <v>1245</v>
      </c>
      <c r="DH1" s="353" t="s">
        <v>287</v>
      </c>
    </row>
    <row r="2" spans="1:112">
      <c r="A2" s="204">
        <v>11</v>
      </c>
      <c r="B2" s="204">
        <v>2</v>
      </c>
      <c r="C2" s="204">
        <v>3126</v>
      </c>
      <c r="D2" s="204">
        <v>0</v>
      </c>
      <c r="E2" s="204">
        <v>11</v>
      </c>
      <c r="F2" s="204">
        <v>0</v>
      </c>
      <c r="G2" s="204">
        <v>11</v>
      </c>
      <c r="H2" s="204" t="s">
        <v>512</v>
      </c>
      <c r="I2" s="354">
        <v>37462</v>
      </c>
      <c r="J2" s="204" t="s">
        <v>512</v>
      </c>
      <c r="K2" s="204" t="s">
        <v>1246</v>
      </c>
      <c r="L2" s="204" t="s">
        <v>1247</v>
      </c>
      <c r="M2" s="204" t="s">
        <v>513</v>
      </c>
      <c r="N2" s="353">
        <v>100</v>
      </c>
      <c r="P2" s="204" t="s">
        <v>514</v>
      </c>
      <c r="R2" s="204" t="s">
        <v>1248</v>
      </c>
      <c r="S2" s="353">
        <v>0</v>
      </c>
      <c r="T2" s="204" t="s">
        <v>515</v>
      </c>
      <c r="U2" s="204" t="s">
        <v>356</v>
      </c>
      <c r="W2" s="204" t="s">
        <v>516</v>
      </c>
      <c r="Z2" s="204" t="s">
        <v>358</v>
      </c>
      <c r="AA2" s="204" t="s">
        <v>350</v>
      </c>
      <c r="AB2" s="204" t="s">
        <v>1249</v>
      </c>
      <c r="AC2" s="204" t="s">
        <v>1250</v>
      </c>
      <c r="AD2" s="204" t="s">
        <v>1251</v>
      </c>
      <c r="AE2" s="353">
        <v>68500</v>
      </c>
      <c r="AF2" s="353">
        <v>68250</v>
      </c>
      <c r="AG2" s="353">
        <v>0</v>
      </c>
      <c r="AH2" s="204" t="s">
        <v>298</v>
      </c>
      <c r="AI2" s="353">
        <v>1</v>
      </c>
      <c r="AJ2" s="353">
        <v>1</v>
      </c>
      <c r="AK2" s="353">
        <v>0</v>
      </c>
      <c r="AL2" s="353">
        <v>0</v>
      </c>
      <c r="AM2" s="353">
        <v>0</v>
      </c>
      <c r="AQ2" s="353">
        <v>0</v>
      </c>
      <c r="BC2" s="353">
        <v>0</v>
      </c>
      <c r="BD2" s="353">
        <v>0</v>
      </c>
      <c r="BF2" s="353">
        <v>0</v>
      </c>
      <c r="BG2" s="204" t="s">
        <v>1248</v>
      </c>
      <c r="BH2" s="204" t="s">
        <v>1248</v>
      </c>
      <c r="BJ2" s="204" t="s">
        <v>1252</v>
      </c>
      <c r="BK2" s="353">
        <v>3240</v>
      </c>
      <c r="BL2" s="353">
        <v>2</v>
      </c>
      <c r="BM2" s="353">
        <v>4</v>
      </c>
      <c r="BN2" s="353">
        <v>0</v>
      </c>
      <c r="BO2" s="353">
        <v>4</v>
      </c>
      <c r="BP2" s="353">
        <v>0</v>
      </c>
      <c r="BQ2" s="353">
        <v>810</v>
      </c>
      <c r="BR2" s="204" t="s">
        <v>1248</v>
      </c>
      <c r="BS2" s="204" t="s">
        <v>1248</v>
      </c>
      <c r="BT2" s="353">
        <v>0</v>
      </c>
      <c r="BU2" s="353">
        <v>10028</v>
      </c>
      <c r="BV2" s="204" t="s">
        <v>1248</v>
      </c>
      <c r="BW2" s="204" t="s">
        <v>1253</v>
      </c>
      <c r="BX2" s="204" t="s">
        <v>1248</v>
      </c>
      <c r="BY2" s="204" t="s">
        <v>1248</v>
      </c>
      <c r="BZ2" s="204" t="s">
        <v>1254</v>
      </c>
      <c r="CA2" s="353">
        <v>3240</v>
      </c>
      <c r="CB2" s="353">
        <v>401.97164584000001</v>
      </c>
      <c r="CC2" s="204" t="s">
        <v>517</v>
      </c>
      <c r="CD2" s="204" t="s">
        <v>300</v>
      </c>
      <c r="CE2" s="204" t="s">
        <v>301</v>
      </c>
      <c r="CF2" s="204" t="s">
        <v>1255</v>
      </c>
      <c r="CG2" s="204" t="s">
        <v>1256</v>
      </c>
      <c r="CH2" s="204" t="s">
        <v>195</v>
      </c>
      <c r="CI2" s="204" t="s">
        <v>438</v>
      </c>
      <c r="CJ2" s="204" t="s">
        <v>302</v>
      </c>
      <c r="CK2" s="353">
        <v>-9999</v>
      </c>
      <c r="CM2" s="353">
        <v>-9999</v>
      </c>
      <c r="CO2" s="353">
        <v>-9999</v>
      </c>
      <c r="CS2" s="353">
        <v>-9999</v>
      </c>
      <c r="CT2" s="353">
        <v>-9999</v>
      </c>
      <c r="CV2" s="204" t="s">
        <v>1257</v>
      </c>
      <c r="CW2" s="353">
        <v>2.0338238461100002E-6</v>
      </c>
      <c r="CX2" s="204">
        <v>11</v>
      </c>
      <c r="CY2" s="204">
        <v>0</v>
      </c>
      <c r="CZ2" s="204">
        <v>0</v>
      </c>
      <c r="DA2" s="204">
        <v>10</v>
      </c>
      <c r="DB2" s="353">
        <v>0</v>
      </c>
      <c r="DC2" s="353">
        <v>0</v>
      </c>
      <c r="DD2" s="204">
        <v>10</v>
      </c>
      <c r="DE2" s="353">
        <v>0</v>
      </c>
      <c r="DF2" s="353">
        <v>0</v>
      </c>
      <c r="DG2" s="353">
        <v>2.05906916205E-2</v>
      </c>
      <c r="DH2" s="353">
        <v>10026.6283121</v>
      </c>
    </row>
    <row r="3" spans="1:112">
      <c r="A3" s="204">
        <v>49</v>
      </c>
      <c r="B3" s="204">
        <v>2</v>
      </c>
      <c r="C3" s="204">
        <v>3685</v>
      </c>
      <c r="D3" s="204">
        <v>0</v>
      </c>
      <c r="E3" s="204">
        <v>49</v>
      </c>
      <c r="F3" s="204">
        <v>0</v>
      </c>
      <c r="G3" s="204">
        <v>49</v>
      </c>
      <c r="H3" s="204" t="s">
        <v>343</v>
      </c>
      <c r="I3" s="354">
        <v>37462</v>
      </c>
      <c r="J3" s="204" t="s">
        <v>343</v>
      </c>
      <c r="K3" s="204" t="s">
        <v>1258</v>
      </c>
      <c r="L3" s="204" t="s">
        <v>1247</v>
      </c>
      <c r="M3" s="204" t="s">
        <v>344</v>
      </c>
      <c r="N3" s="353">
        <v>100</v>
      </c>
      <c r="P3" s="204" t="s">
        <v>345</v>
      </c>
      <c r="R3" s="204" t="s">
        <v>1248</v>
      </c>
      <c r="S3" s="353">
        <v>0</v>
      </c>
      <c r="T3" s="204" t="s">
        <v>346</v>
      </c>
      <c r="U3" s="204" t="s">
        <v>294</v>
      </c>
      <c r="W3" s="204" t="s">
        <v>347</v>
      </c>
      <c r="Y3" s="204" t="s">
        <v>348</v>
      </c>
      <c r="Z3" s="204" t="s">
        <v>349</v>
      </c>
      <c r="AA3" s="204" t="s">
        <v>350</v>
      </c>
      <c r="AC3" s="204" t="s">
        <v>1259</v>
      </c>
      <c r="AD3" s="204" t="s">
        <v>1251</v>
      </c>
      <c r="AE3" s="353">
        <v>74839</v>
      </c>
      <c r="AF3" s="353">
        <v>212381</v>
      </c>
      <c r="AG3" s="353">
        <v>0</v>
      </c>
      <c r="AH3" s="204" t="s">
        <v>298</v>
      </c>
      <c r="AI3" s="353">
        <v>0</v>
      </c>
      <c r="AJ3" s="353">
        <v>4</v>
      </c>
      <c r="AK3" s="353">
        <v>0</v>
      </c>
      <c r="AL3" s="353">
        <v>0</v>
      </c>
      <c r="AM3" s="353">
        <v>0</v>
      </c>
      <c r="AQ3" s="353">
        <v>0</v>
      </c>
      <c r="BC3" s="353">
        <v>0</v>
      </c>
      <c r="BD3" s="353">
        <v>0</v>
      </c>
      <c r="BF3" s="353">
        <v>0</v>
      </c>
      <c r="BG3" s="204" t="s">
        <v>1248</v>
      </c>
      <c r="BH3" s="204" t="s">
        <v>1248</v>
      </c>
      <c r="BJ3" s="204" t="s">
        <v>1260</v>
      </c>
      <c r="BK3" s="353">
        <v>5133</v>
      </c>
      <c r="BL3" s="353">
        <v>1</v>
      </c>
      <c r="BM3" s="353">
        <v>7</v>
      </c>
      <c r="BN3" s="353">
        <v>2</v>
      </c>
      <c r="BO3" s="353">
        <v>5</v>
      </c>
      <c r="BP3" s="353">
        <v>0</v>
      </c>
      <c r="BQ3" s="353">
        <v>733</v>
      </c>
      <c r="BR3" s="204" t="s">
        <v>1261</v>
      </c>
      <c r="BS3" s="204" t="s">
        <v>1248</v>
      </c>
      <c r="BT3" s="353">
        <v>2</v>
      </c>
      <c r="BU3" s="353">
        <v>29000</v>
      </c>
      <c r="BV3" s="204" t="s">
        <v>1248</v>
      </c>
      <c r="BW3" s="204" t="s">
        <v>1253</v>
      </c>
      <c r="BX3" s="204" t="s">
        <v>1248</v>
      </c>
      <c r="BY3" s="204" t="s">
        <v>1248</v>
      </c>
      <c r="BZ3" s="204" t="s">
        <v>808</v>
      </c>
      <c r="CA3" s="353">
        <v>5133</v>
      </c>
      <c r="CB3" s="353">
        <v>792.75011400599999</v>
      </c>
      <c r="CC3" s="204" t="s">
        <v>299</v>
      </c>
      <c r="CD3" s="204" t="s">
        <v>300</v>
      </c>
      <c r="CE3" s="204" t="s">
        <v>301</v>
      </c>
      <c r="CF3" s="204" t="s">
        <v>1262</v>
      </c>
      <c r="CG3" s="204" t="s">
        <v>1256</v>
      </c>
      <c r="CH3" s="204" t="s">
        <v>195</v>
      </c>
      <c r="CI3" s="204" t="s">
        <v>351</v>
      </c>
      <c r="CJ3" s="204" t="s">
        <v>302</v>
      </c>
      <c r="CK3" s="353">
        <v>10</v>
      </c>
      <c r="CL3" s="204" t="s">
        <v>1263</v>
      </c>
      <c r="CM3" s="353">
        <v>-9999</v>
      </c>
      <c r="CN3" s="204" t="s">
        <v>1264</v>
      </c>
      <c r="CO3" s="353">
        <v>-9999</v>
      </c>
      <c r="CS3" s="353">
        <v>-9999</v>
      </c>
      <c r="CT3" s="353">
        <v>-9999</v>
      </c>
      <c r="CV3" s="204" t="s">
        <v>1265</v>
      </c>
      <c r="CW3" s="353">
        <v>1.1529061809399999E-3</v>
      </c>
      <c r="CX3" s="204">
        <v>49</v>
      </c>
      <c r="CY3" s="204">
        <v>0</v>
      </c>
      <c r="CZ3" s="204">
        <v>0</v>
      </c>
      <c r="DA3" s="204">
        <v>10</v>
      </c>
      <c r="DB3" s="353">
        <v>0</v>
      </c>
      <c r="DC3" s="353">
        <v>0</v>
      </c>
      <c r="DD3" s="204">
        <v>10</v>
      </c>
      <c r="DE3" s="353">
        <v>0</v>
      </c>
      <c r="DF3" s="353">
        <v>0</v>
      </c>
      <c r="DG3" s="353">
        <v>0.22977419941800001</v>
      </c>
      <c r="DH3" s="353">
        <v>29465.068990399999</v>
      </c>
    </row>
    <row r="4" spans="1:112">
      <c r="A4" s="204">
        <v>69</v>
      </c>
      <c r="B4" s="204">
        <v>3</v>
      </c>
      <c r="C4" s="204">
        <v>4405</v>
      </c>
      <c r="D4" s="204">
        <v>0</v>
      </c>
      <c r="E4" s="204">
        <v>69</v>
      </c>
      <c r="F4" s="204">
        <v>0</v>
      </c>
      <c r="G4" s="204">
        <v>69</v>
      </c>
      <c r="H4" s="204" t="s">
        <v>352</v>
      </c>
      <c r="I4" s="354">
        <v>37462</v>
      </c>
      <c r="J4" s="204" t="s">
        <v>352</v>
      </c>
      <c r="K4" s="204" t="s">
        <v>1258</v>
      </c>
      <c r="L4" s="204" t="s">
        <v>1266</v>
      </c>
      <c r="M4" s="204" t="s">
        <v>353</v>
      </c>
      <c r="N4" s="353">
        <v>100</v>
      </c>
      <c r="O4" s="204" t="s">
        <v>1267</v>
      </c>
      <c r="P4" s="204" t="s">
        <v>354</v>
      </c>
      <c r="R4" s="204" t="s">
        <v>1248</v>
      </c>
      <c r="S4" s="353">
        <v>0</v>
      </c>
      <c r="T4" s="204" t="s">
        <v>355</v>
      </c>
      <c r="U4" s="204" t="s">
        <v>356</v>
      </c>
      <c r="W4" s="204" t="s">
        <v>357</v>
      </c>
      <c r="X4" s="204" t="s">
        <v>1268</v>
      </c>
      <c r="Z4" s="204" t="s">
        <v>358</v>
      </c>
      <c r="AA4" s="204" t="s">
        <v>350</v>
      </c>
      <c r="AB4" s="204" t="s">
        <v>1269</v>
      </c>
      <c r="AC4" s="204" t="s">
        <v>1259</v>
      </c>
      <c r="AD4" s="204" t="s">
        <v>1251</v>
      </c>
      <c r="AE4" s="353">
        <v>91171</v>
      </c>
      <c r="AF4" s="353">
        <v>165844</v>
      </c>
      <c r="AG4" s="353">
        <v>0</v>
      </c>
      <c r="AH4" s="204" t="s">
        <v>298</v>
      </c>
      <c r="AI4" s="353">
        <v>0</v>
      </c>
      <c r="AJ4" s="353">
        <v>3</v>
      </c>
      <c r="AK4" s="353">
        <v>0</v>
      </c>
      <c r="AL4" s="353">
        <v>0</v>
      </c>
      <c r="AM4" s="353">
        <v>0</v>
      </c>
      <c r="AQ4" s="353">
        <v>0</v>
      </c>
      <c r="BC4" s="353">
        <v>0</v>
      </c>
      <c r="BD4" s="353">
        <v>0</v>
      </c>
      <c r="BF4" s="353">
        <v>0</v>
      </c>
      <c r="BG4" s="204" t="s">
        <v>1248</v>
      </c>
      <c r="BH4" s="204" t="s">
        <v>1248</v>
      </c>
      <c r="BJ4" s="204" t="s">
        <v>1270</v>
      </c>
      <c r="BK4" s="353">
        <v>6688</v>
      </c>
      <c r="BL4" s="353">
        <v>2</v>
      </c>
      <c r="BM4" s="353">
        <v>8</v>
      </c>
      <c r="BN4" s="353">
        <v>0</v>
      </c>
      <c r="BO4" s="353">
        <v>8</v>
      </c>
      <c r="BP4" s="353">
        <v>0</v>
      </c>
      <c r="BQ4" s="353">
        <v>836</v>
      </c>
      <c r="BR4" s="204" t="s">
        <v>1248</v>
      </c>
      <c r="BS4" s="204" t="s">
        <v>1271</v>
      </c>
      <c r="BT4" s="353">
        <v>10</v>
      </c>
      <c r="BU4" s="353">
        <v>15500</v>
      </c>
      <c r="BX4" s="204" t="s">
        <v>1248</v>
      </c>
      <c r="BY4" s="204" t="s">
        <v>1248</v>
      </c>
      <c r="BZ4" s="204" t="s">
        <v>1254</v>
      </c>
      <c r="CA4" s="353">
        <v>6688</v>
      </c>
      <c r="CB4" s="353">
        <v>505.81662586099998</v>
      </c>
      <c r="CC4" s="204" t="s">
        <v>299</v>
      </c>
      <c r="CD4" s="204" t="s">
        <v>300</v>
      </c>
      <c r="CE4" s="204" t="s">
        <v>301</v>
      </c>
      <c r="CF4" s="204" t="s">
        <v>1272</v>
      </c>
      <c r="CG4" s="204" t="s">
        <v>1256</v>
      </c>
      <c r="CH4" s="204" t="s">
        <v>186</v>
      </c>
      <c r="CI4" s="204" t="s">
        <v>359</v>
      </c>
      <c r="CJ4" s="204" t="s">
        <v>302</v>
      </c>
      <c r="CK4" s="353">
        <v>-9999</v>
      </c>
      <c r="CL4" s="204" t="s">
        <v>1263</v>
      </c>
      <c r="CM4" s="353">
        <v>-9999</v>
      </c>
      <c r="CO4" s="353">
        <v>-9999</v>
      </c>
      <c r="CS4" s="353">
        <v>-9999</v>
      </c>
      <c r="CT4" s="353">
        <v>-9999</v>
      </c>
      <c r="CV4" s="204" t="s">
        <v>1257</v>
      </c>
      <c r="CW4" s="353">
        <v>3.0488124116899998E-7</v>
      </c>
      <c r="CX4" s="204">
        <v>69</v>
      </c>
      <c r="CY4" s="204">
        <v>0</v>
      </c>
      <c r="CZ4" s="204">
        <v>0</v>
      </c>
      <c r="DA4" s="204">
        <v>10</v>
      </c>
      <c r="DB4" s="353">
        <v>0</v>
      </c>
      <c r="DC4" s="353">
        <v>0</v>
      </c>
      <c r="DD4" s="204">
        <v>10</v>
      </c>
      <c r="DE4" s="353">
        <v>0</v>
      </c>
      <c r="DF4" s="353">
        <v>0</v>
      </c>
      <c r="DG4" s="353">
        <v>4.1624199748400001E-3</v>
      </c>
      <c r="DH4" s="353">
        <v>15484.283217099999</v>
      </c>
    </row>
    <row r="5" spans="1:112">
      <c r="A5" s="204">
        <v>71</v>
      </c>
      <c r="B5" s="204">
        <v>1</v>
      </c>
      <c r="C5" s="204">
        <v>4409</v>
      </c>
      <c r="D5" s="204">
        <v>0</v>
      </c>
      <c r="E5" s="204">
        <v>71</v>
      </c>
      <c r="F5" s="204">
        <v>0</v>
      </c>
      <c r="G5" s="204">
        <v>71</v>
      </c>
      <c r="H5" s="204" t="s">
        <v>382</v>
      </c>
      <c r="I5" s="354">
        <v>37462</v>
      </c>
      <c r="J5" s="204" t="s">
        <v>382</v>
      </c>
      <c r="K5" s="204" t="s">
        <v>1258</v>
      </c>
      <c r="L5" s="204" t="s">
        <v>1266</v>
      </c>
      <c r="M5" s="204" t="s">
        <v>353</v>
      </c>
      <c r="N5" s="353">
        <v>100</v>
      </c>
      <c r="O5" s="204" t="s">
        <v>1267</v>
      </c>
      <c r="P5" s="204" t="s">
        <v>383</v>
      </c>
      <c r="R5" s="204" t="s">
        <v>1248</v>
      </c>
      <c r="S5" s="353">
        <v>0</v>
      </c>
      <c r="T5" s="204" t="s">
        <v>355</v>
      </c>
      <c r="U5" s="204" t="s">
        <v>356</v>
      </c>
      <c r="W5" s="204" t="s">
        <v>384</v>
      </c>
      <c r="X5" s="204" t="s">
        <v>1259</v>
      </c>
      <c r="Z5" s="204" t="s">
        <v>358</v>
      </c>
      <c r="AA5" s="204" t="s">
        <v>350</v>
      </c>
      <c r="AB5" s="204" t="s">
        <v>1269</v>
      </c>
      <c r="AC5" s="204" t="s">
        <v>1259</v>
      </c>
      <c r="AD5" s="204" t="s">
        <v>1251</v>
      </c>
      <c r="AE5" s="353">
        <v>136761</v>
      </c>
      <c r="AF5" s="353">
        <v>250084</v>
      </c>
      <c r="AG5" s="353">
        <v>0</v>
      </c>
      <c r="AH5" s="204" t="s">
        <v>298</v>
      </c>
      <c r="AI5" s="353">
        <v>1</v>
      </c>
      <c r="AJ5" s="353">
        <v>1</v>
      </c>
      <c r="AK5" s="353">
        <v>0</v>
      </c>
      <c r="AL5" s="353">
        <v>0</v>
      </c>
      <c r="AM5" s="353">
        <v>0</v>
      </c>
      <c r="AQ5" s="353">
        <v>0</v>
      </c>
      <c r="BC5" s="353">
        <v>0</v>
      </c>
      <c r="BD5" s="353">
        <v>0</v>
      </c>
      <c r="BF5" s="353">
        <v>0</v>
      </c>
      <c r="BG5" s="204" t="s">
        <v>1248</v>
      </c>
      <c r="BH5" s="204" t="s">
        <v>1248</v>
      </c>
      <c r="BJ5" s="204" t="s">
        <v>1270</v>
      </c>
      <c r="BK5" s="353">
        <v>0</v>
      </c>
      <c r="BL5" s="353">
        <v>2</v>
      </c>
      <c r="BM5" s="353">
        <v>12</v>
      </c>
      <c r="BN5" s="353">
        <v>0</v>
      </c>
      <c r="BO5" s="353">
        <v>12</v>
      </c>
      <c r="BP5" s="353">
        <v>0</v>
      </c>
      <c r="BQ5" s="353">
        <v>12</v>
      </c>
      <c r="BT5" s="353">
        <v>0</v>
      </c>
      <c r="BU5" s="353">
        <v>10032</v>
      </c>
      <c r="BX5" s="204" t="s">
        <v>1248</v>
      </c>
      <c r="BY5" s="204" t="s">
        <v>1248</v>
      </c>
      <c r="BZ5" s="204" t="s">
        <v>1254</v>
      </c>
      <c r="CA5" s="353">
        <v>0</v>
      </c>
      <c r="CB5" s="353">
        <v>687.93323044299996</v>
      </c>
      <c r="CC5" s="204" t="s">
        <v>299</v>
      </c>
      <c r="CD5" s="204" t="s">
        <v>300</v>
      </c>
      <c r="CE5" s="204" t="s">
        <v>301</v>
      </c>
      <c r="CF5" s="204" t="s">
        <v>1273</v>
      </c>
      <c r="CG5" s="204" t="s">
        <v>1256</v>
      </c>
      <c r="CH5" s="204" t="s">
        <v>204</v>
      </c>
      <c r="CJ5" s="204" t="s">
        <v>302</v>
      </c>
      <c r="CK5" s="353">
        <v>-9999</v>
      </c>
      <c r="CL5" s="204" t="s">
        <v>1263</v>
      </c>
      <c r="CM5" s="353">
        <v>1</v>
      </c>
      <c r="CO5" s="353">
        <v>-9999</v>
      </c>
      <c r="CS5" s="353">
        <v>-9999</v>
      </c>
      <c r="CT5" s="353">
        <v>-9999</v>
      </c>
      <c r="CV5" s="204" t="s">
        <v>1257</v>
      </c>
      <c r="CW5" s="353">
        <v>7.0039799576499995E-7</v>
      </c>
      <c r="CX5" s="204">
        <v>71</v>
      </c>
      <c r="CY5" s="204">
        <v>0</v>
      </c>
      <c r="CZ5" s="204">
        <v>0</v>
      </c>
      <c r="DA5" s="204">
        <v>10</v>
      </c>
      <c r="DB5" s="353">
        <v>0</v>
      </c>
      <c r="DC5" s="353">
        <v>0</v>
      </c>
      <c r="DD5" s="204">
        <v>10</v>
      </c>
      <c r="DE5" s="353">
        <v>0</v>
      </c>
      <c r="DF5" s="353">
        <v>0</v>
      </c>
      <c r="DG5" s="353">
        <v>3.9503264507899996E-3</v>
      </c>
      <c r="DH5" s="353">
        <v>24726.1070697</v>
      </c>
    </row>
    <row r="6" spans="1:112">
      <c r="A6" s="204">
        <v>72</v>
      </c>
      <c r="B6" s="204">
        <v>1</v>
      </c>
      <c r="C6" s="204">
        <v>4410</v>
      </c>
      <c r="D6" s="204">
        <v>0</v>
      </c>
      <c r="E6" s="204">
        <v>72</v>
      </c>
      <c r="F6" s="204">
        <v>0</v>
      </c>
      <c r="G6" s="204">
        <v>72</v>
      </c>
      <c r="H6" s="204" t="s">
        <v>571</v>
      </c>
      <c r="I6" s="354">
        <v>37462</v>
      </c>
      <c r="J6" s="204" t="s">
        <v>571</v>
      </c>
      <c r="K6" s="204" t="s">
        <v>1258</v>
      </c>
      <c r="L6" s="204" t="s">
        <v>1266</v>
      </c>
      <c r="M6" s="204" t="s">
        <v>353</v>
      </c>
      <c r="N6" s="353">
        <v>100</v>
      </c>
      <c r="O6" s="204" t="s">
        <v>1267</v>
      </c>
      <c r="P6" s="204" t="s">
        <v>572</v>
      </c>
      <c r="R6" s="204" t="s">
        <v>1248</v>
      </c>
      <c r="S6" s="353">
        <v>0</v>
      </c>
      <c r="T6" s="204" t="s">
        <v>355</v>
      </c>
      <c r="U6" s="204" t="s">
        <v>356</v>
      </c>
      <c r="Z6" s="204" t="s">
        <v>358</v>
      </c>
      <c r="AA6" s="204" t="s">
        <v>350</v>
      </c>
      <c r="AC6" s="204" t="s">
        <v>1274</v>
      </c>
      <c r="AD6" s="204" t="s">
        <v>1251</v>
      </c>
      <c r="AE6" s="353">
        <v>124</v>
      </c>
      <c r="AF6" s="353">
        <v>0</v>
      </c>
      <c r="AG6" s="353">
        <v>0</v>
      </c>
      <c r="AH6" s="204" t="s">
        <v>298</v>
      </c>
      <c r="AI6" s="353">
        <v>1</v>
      </c>
      <c r="AJ6" s="353">
        <v>1</v>
      </c>
      <c r="AK6" s="353">
        <v>0</v>
      </c>
      <c r="AL6" s="353">
        <v>0</v>
      </c>
      <c r="AM6" s="353">
        <v>0</v>
      </c>
      <c r="AQ6" s="353">
        <v>0</v>
      </c>
      <c r="BC6" s="353">
        <v>0</v>
      </c>
      <c r="BD6" s="353">
        <v>0</v>
      </c>
      <c r="BF6" s="353">
        <v>0</v>
      </c>
      <c r="BG6" s="204" t="s">
        <v>1248</v>
      </c>
      <c r="BH6" s="204" t="s">
        <v>1248</v>
      </c>
      <c r="BJ6" s="204" t="s">
        <v>233</v>
      </c>
      <c r="BK6" s="353">
        <v>0</v>
      </c>
      <c r="BL6" s="353">
        <v>0</v>
      </c>
      <c r="BM6" s="353">
        <v>0</v>
      </c>
      <c r="BN6" s="353">
        <v>0</v>
      </c>
      <c r="BO6" s="353">
        <v>0</v>
      </c>
      <c r="BP6" s="353">
        <v>0</v>
      </c>
      <c r="BQ6" s="353">
        <v>0</v>
      </c>
      <c r="BT6" s="353">
        <v>0</v>
      </c>
      <c r="BU6" s="353">
        <v>600</v>
      </c>
      <c r="BV6" s="204" t="s">
        <v>1248</v>
      </c>
      <c r="BW6" s="204" t="s">
        <v>1253</v>
      </c>
      <c r="BX6" s="204" t="s">
        <v>1248</v>
      </c>
      <c r="BY6" s="204" t="s">
        <v>1248</v>
      </c>
      <c r="CA6" s="353">
        <v>0</v>
      </c>
      <c r="CB6" s="353">
        <v>211.814045451</v>
      </c>
      <c r="CC6" s="204" t="s">
        <v>88</v>
      </c>
      <c r="CD6" s="204" t="s">
        <v>300</v>
      </c>
      <c r="CE6" s="204" t="s">
        <v>301</v>
      </c>
      <c r="CF6" s="204" t="s">
        <v>1273</v>
      </c>
      <c r="CG6" s="204" t="s">
        <v>1256</v>
      </c>
      <c r="CH6" s="204" t="s">
        <v>204</v>
      </c>
      <c r="CJ6" s="204" t="s">
        <v>302</v>
      </c>
      <c r="CK6" s="353">
        <v>-9999</v>
      </c>
      <c r="CL6" s="204" t="s">
        <v>1263</v>
      </c>
      <c r="CM6" s="353">
        <v>1</v>
      </c>
      <c r="CO6" s="353">
        <v>-9999</v>
      </c>
      <c r="CS6" s="353">
        <v>-9999</v>
      </c>
      <c r="CT6" s="353">
        <v>-9999</v>
      </c>
      <c r="CV6" s="204" t="s">
        <v>1257</v>
      </c>
      <c r="CW6" s="353">
        <v>7.0039799576499995E-7</v>
      </c>
      <c r="CX6" s="204">
        <v>72</v>
      </c>
      <c r="CY6" s="204">
        <v>0</v>
      </c>
      <c r="CZ6" s="204">
        <v>0</v>
      </c>
      <c r="DA6" s="204">
        <v>10</v>
      </c>
      <c r="DB6" s="353">
        <v>0</v>
      </c>
      <c r="DC6" s="353">
        <v>0</v>
      </c>
      <c r="DD6" s="204">
        <v>10</v>
      </c>
      <c r="DE6" s="353">
        <v>0</v>
      </c>
      <c r="DF6" s="353">
        <v>0</v>
      </c>
      <c r="DG6" s="353">
        <v>3.9503264507899996E-3</v>
      </c>
      <c r="DH6" s="353">
        <v>599.41783497999995</v>
      </c>
    </row>
    <row r="7" spans="1:112">
      <c r="A7" s="204">
        <v>173</v>
      </c>
      <c r="B7" s="204">
        <v>2</v>
      </c>
      <c r="C7" s="204">
        <v>7251</v>
      </c>
      <c r="D7" s="204">
        <v>0</v>
      </c>
      <c r="E7" s="204">
        <v>173</v>
      </c>
      <c r="F7" s="204">
        <v>0</v>
      </c>
      <c r="G7" s="204">
        <v>173</v>
      </c>
      <c r="H7" s="204" t="s">
        <v>416</v>
      </c>
      <c r="I7" s="354">
        <v>37462</v>
      </c>
      <c r="J7" s="204" t="s">
        <v>416</v>
      </c>
      <c r="K7" s="204" t="s">
        <v>1275</v>
      </c>
      <c r="L7" s="204" t="s">
        <v>1253</v>
      </c>
      <c r="M7" s="204" t="s">
        <v>417</v>
      </c>
      <c r="N7" s="353">
        <v>100</v>
      </c>
      <c r="O7" s="204" t="s">
        <v>1276</v>
      </c>
      <c r="P7" s="204" t="s">
        <v>418</v>
      </c>
      <c r="R7" s="204" t="s">
        <v>1248</v>
      </c>
      <c r="S7" s="353">
        <v>0</v>
      </c>
      <c r="T7" s="204" t="s">
        <v>419</v>
      </c>
      <c r="U7" s="204" t="s">
        <v>307</v>
      </c>
      <c r="W7" s="204" t="s">
        <v>420</v>
      </c>
      <c r="Z7" s="204" t="s">
        <v>421</v>
      </c>
      <c r="AA7" s="204" t="s">
        <v>422</v>
      </c>
      <c r="AB7" s="204" t="s">
        <v>1277</v>
      </c>
      <c r="AC7" s="204" t="s">
        <v>1278</v>
      </c>
      <c r="AD7" s="204" t="s">
        <v>384</v>
      </c>
      <c r="AE7" s="353">
        <v>120640</v>
      </c>
      <c r="AF7" s="353">
        <v>83924</v>
      </c>
      <c r="AG7" s="353">
        <v>0</v>
      </c>
      <c r="AH7" s="204" t="s">
        <v>423</v>
      </c>
      <c r="AI7" s="353">
        <v>1</v>
      </c>
      <c r="AJ7" s="353">
        <v>1</v>
      </c>
      <c r="AK7" s="353">
        <v>4</v>
      </c>
      <c r="AL7" s="353">
        <v>2</v>
      </c>
      <c r="AM7" s="353">
        <v>9</v>
      </c>
      <c r="AN7" s="204" t="s">
        <v>186</v>
      </c>
      <c r="AO7" s="204" t="s">
        <v>1248</v>
      </c>
      <c r="AP7" s="204" t="s">
        <v>1248</v>
      </c>
      <c r="AQ7" s="353">
        <v>0</v>
      </c>
      <c r="AR7" s="204" t="s">
        <v>1248</v>
      </c>
      <c r="AS7" s="204" t="s">
        <v>1248</v>
      </c>
      <c r="AT7" s="204" t="s">
        <v>1248</v>
      </c>
      <c r="AU7" s="204" t="s">
        <v>1248</v>
      </c>
      <c r="AV7" s="204" t="s">
        <v>424</v>
      </c>
      <c r="AW7" s="204" t="s">
        <v>1248</v>
      </c>
      <c r="AX7" s="204" t="s">
        <v>1253</v>
      </c>
      <c r="AY7" s="204" t="s">
        <v>1261</v>
      </c>
      <c r="AZ7" s="204" t="s">
        <v>1248</v>
      </c>
      <c r="BA7" s="204" t="s">
        <v>302</v>
      </c>
      <c r="BB7" s="204" t="s">
        <v>1128</v>
      </c>
      <c r="BC7" s="353">
        <v>5000</v>
      </c>
      <c r="BD7" s="353">
        <v>2419</v>
      </c>
      <c r="BE7" s="204" t="s">
        <v>723</v>
      </c>
      <c r="BF7" s="353">
        <v>0</v>
      </c>
      <c r="BG7" s="204" t="s">
        <v>1248</v>
      </c>
      <c r="BH7" s="204" t="s">
        <v>1248</v>
      </c>
      <c r="BI7" s="204" t="s">
        <v>723</v>
      </c>
      <c r="BK7" s="353">
        <v>0</v>
      </c>
      <c r="BL7" s="353">
        <v>0</v>
      </c>
      <c r="BM7" s="353">
        <v>0</v>
      </c>
      <c r="BN7" s="353">
        <v>0</v>
      </c>
      <c r="BO7" s="353">
        <v>0</v>
      </c>
      <c r="BP7" s="353">
        <v>0</v>
      </c>
      <c r="BQ7" s="353">
        <v>0</v>
      </c>
      <c r="BT7" s="353">
        <v>0</v>
      </c>
      <c r="BU7" s="353">
        <v>0</v>
      </c>
      <c r="CA7" s="353">
        <v>0</v>
      </c>
      <c r="CB7" s="353">
        <v>296.75665196400001</v>
      </c>
      <c r="CC7" s="204" t="s">
        <v>425</v>
      </c>
      <c r="CD7" s="204" t="s">
        <v>300</v>
      </c>
      <c r="CE7" s="204" t="s">
        <v>301</v>
      </c>
      <c r="CF7" s="204" t="s">
        <v>1279</v>
      </c>
      <c r="CG7" s="204" t="s">
        <v>1256</v>
      </c>
      <c r="CH7" s="204" t="s">
        <v>195</v>
      </c>
      <c r="CI7" s="204" t="s">
        <v>351</v>
      </c>
      <c r="CJ7" s="204" t="s">
        <v>302</v>
      </c>
      <c r="CK7" s="353">
        <v>0</v>
      </c>
      <c r="CM7" s="353">
        <v>0</v>
      </c>
      <c r="CO7" s="353">
        <v>0</v>
      </c>
      <c r="CS7" s="353">
        <v>-9999</v>
      </c>
      <c r="CT7" s="353">
        <v>-9999</v>
      </c>
      <c r="CV7" s="204" t="s">
        <v>1265</v>
      </c>
      <c r="CW7" s="353">
        <v>5.6379288130200004E-4</v>
      </c>
      <c r="CX7" s="204">
        <v>173</v>
      </c>
      <c r="CY7" s="204">
        <v>0</v>
      </c>
      <c r="CZ7" s="204">
        <v>0</v>
      </c>
      <c r="DA7" s="204">
        <v>10</v>
      </c>
      <c r="DB7" s="353">
        <v>0</v>
      </c>
      <c r="DC7" s="353">
        <v>0</v>
      </c>
      <c r="DD7" s="204">
        <v>10</v>
      </c>
      <c r="DE7" s="353">
        <v>0</v>
      </c>
      <c r="DF7" s="353">
        <v>0</v>
      </c>
      <c r="DG7" s="353">
        <v>0.24609228062499999</v>
      </c>
      <c r="DH7" s="353">
        <v>4778.1284696499997</v>
      </c>
    </row>
    <row r="8" spans="1:112">
      <c r="A8" s="204">
        <v>176</v>
      </c>
      <c r="B8" s="204">
        <v>2</v>
      </c>
      <c r="C8" s="204">
        <v>7256</v>
      </c>
      <c r="D8" s="204">
        <v>0</v>
      </c>
      <c r="E8" s="204">
        <v>176</v>
      </c>
      <c r="F8" s="204">
        <v>0</v>
      </c>
      <c r="G8" s="204">
        <v>176</v>
      </c>
      <c r="H8" s="204" t="s">
        <v>426</v>
      </c>
      <c r="I8" s="354">
        <v>37462</v>
      </c>
      <c r="J8" s="204" t="s">
        <v>426</v>
      </c>
      <c r="K8" s="204" t="s">
        <v>1275</v>
      </c>
      <c r="L8" s="204" t="s">
        <v>302</v>
      </c>
      <c r="M8" s="204" t="s">
        <v>427</v>
      </c>
      <c r="N8" s="353">
        <v>50</v>
      </c>
      <c r="O8" s="204" t="s">
        <v>1280</v>
      </c>
      <c r="P8" s="204" t="s">
        <v>428</v>
      </c>
      <c r="R8" s="204" t="s">
        <v>1248</v>
      </c>
      <c r="S8" s="353">
        <v>0</v>
      </c>
      <c r="T8" s="204" t="s">
        <v>429</v>
      </c>
      <c r="U8" s="204" t="s">
        <v>294</v>
      </c>
      <c r="W8" s="204" t="s">
        <v>430</v>
      </c>
      <c r="Z8" s="204" t="s">
        <v>421</v>
      </c>
      <c r="AA8" s="204" t="s">
        <v>422</v>
      </c>
      <c r="AB8" s="204" t="s">
        <v>550</v>
      </c>
      <c r="AC8" s="204" t="s">
        <v>1278</v>
      </c>
      <c r="AD8" s="204" t="s">
        <v>384</v>
      </c>
      <c r="AE8" s="353">
        <v>10973</v>
      </c>
      <c r="AF8" s="353">
        <v>26374</v>
      </c>
      <c r="AG8" s="353">
        <v>0</v>
      </c>
      <c r="AH8" s="204" t="s">
        <v>423</v>
      </c>
      <c r="AI8" s="353">
        <v>1</v>
      </c>
      <c r="AJ8" s="353">
        <v>1</v>
      </c>
      <c r="AK8" s="353">
        <v>4</v>
      </c>
      <c r="AL8" s="353">
        <v>2</v>
      </c>
      <c r="AM8" s="353">
        <v>12</v>
      </c>
      <c r="AN8" s="204" t="s">
        <v>186</v>
      </c>
      <c r="AO8" s="204" t="s">
        <v>1261</v>
      </c>
      <c r="AP8" s="204" t="s">
        <v>1248</v>
      </c>
      <c r="AQ8" s="353">
        <v>2</v>
      </c>
      <c r="AR8" s="204" t="s">
        <v>1248</v>
      </c>
      <c r="AS8" s="204" t="s">
        <v>1281</v>
      </c>
      <c r="AT8" s="204" t="s">
        <v>1282</v>
      </c>
      <c r="AU8" s="204" t="s">
        <v>1248</v>
      </c>
      <c r="AV8" s="204" t="s">
        <v>431</v>
      </c>
      <c r="AW8" s="204" t="s">
        <v>1248</v>
      </c>
      <c r="AX8" s="204" t="s">
        <v>1253</v>
      </c>
      <c r="AY8" s="204" t="s">
        <v>1261</v>
      </c>
      <c r="AZ8" s="204" t="s">
        <v>1248</v>
      </c>
      <c r="BB8" s="204" t="s">
        <v>431</v>
      </c>
      <c r="BC8" s="353">
        <v>6400</v>
      </c>
      <c r="BD8" s="353">
        <v>3171</v>
      </c>
      <c r="BE8" s="204" t="s">
        <v>723</v>
      </c>
      <c r="BF8" s="353">
        <v>0</v>
      </c>
      <c r="BG8" s="204" t="s">
        <v>1248</v>
      </c>
      <c r="BH8" s="204" t="s">
        <v>1248</v>
      </c>
      <c r="BI8" s="204" t="s">
        <v>723</v>
      </c>
      <c r="BK8" s="353">
        <v>0</v>
      </c>
      <c r="BL8" s="353">
        <v>0</v>
      </c>
      <c r="BM8" s="353">
        <v>0</v>
      </c>
      <c r="BN8" s="353">
        <v>0</v>
      </c>
      <c r="BO8" s="353">
        <v>0</v>
      </c>
      <c r="BP8" s="353">
        <v>0</v>
      </c>
      <c r="BQ8" s="353">
        <v>0</v>
      </c>
      <c r="BT8" s="353">
        <v>0</v>
      </c>
      <c r="BU8" s="353">
        <v>0</v>
      </c>
      <c r="CA8" s="353">
        <v>0</v>
      </c>
      <c r="CB8" s="353">
        <v>331.13676341299998</v>
      </c>
      <c r="CC8" s="204" t="s">
        <v>425</v>
      </c>
      <c r="CD8" s="204" t="s">
        <v>300</v>
      </c>
      <c r="CE8" s="204" t="s">
        <v>301</v>
      </c>
      <c r="CF8" s="204" t="s">
        <v>1279</v>
      </c>
      <c r="CG8" s="204" t="s">
        <v>1256</v>
      </c>
      <c r="CH8" s="204" t="s">
        <v>195</v>
      </c>
      <c r="CI8" s="204" t="s">
        <v>351</v>
      </c>
      <c r="CJ8" s="204" t="s">
        <v>302</v>
      </c>
      <c r="CK8" s="353">
        <v>0</v>
      </c>
      <c r="CM8" s="353">
        <v>0</v>
      </c>
      <c r="CO8" s="353">
        <v>0</v>
      </c>
      <c r="CS8" s="353">
        <v>-9999</v>
      </c>
      <c r="CT8" s="353">
        <v>-9999</v>
      </c>
      <c r="CV8" s="204" t="s">
        <v>1265</v>
      </c>
      <c r="CW8" s="353">
        <v>5.6379288130200004E-4</v>
      </c>
      <c r="CX8" s="204">
        <v>176</v>
      </c>
      <c r="CY8" s="204">
        <v>0</v>
      </c>
      <c r="CZ8" s="204">
        <v>0</v>
      </c>
      <c r="DA8" s="204">
        <v>10</v>
      </c>
      <c r="DB8" s="353">
        <v>0</v>
      </c>
      <c r="DC8" s="353">
        <v>0</v>
      </c>
      <c r="DD8" s="204">
        <v>10</v>
      </c>
      <c r="DE8" s="353">
        <v>0</v>
      </c>
      <c r="DF8" s="353">
        <v>0</v>
      </c>
      <c r="DG8" s="353">
        <v>0.24609228062499999</v>
      </c>
      <c r="DH8" s="353">
        <v>6526.4879943400001</v>
      </c>
    </row>
    <row r="9" spans="1:112">
      <c r="A9" s="204">
        <v>266</v>
      </c>
      <c r="B9" s="204">
        <v>1</v>
      </c>
      <c r="C9" s="204">
        <v>7778</v>
      </c>
      <c r="D9" s="204">
        <v>0</v>
      </c>
      <c r="E9" s="204">
        <v>266</v>
      </c>
      <c r="F9" s="204">
        <v>0</v>
      </c>
      <c r="G9" s="204">
        <v>266</v>
      </c>
      <c r="H9" s="204" t="s">
        <v>573</v>
      </c>
      <c r="I9" s="354">
        <v>37462</v>
      </c>
      <c r="J9" s="204" t="s">
        <v>573</v>
      </c>
      <c r="K9" s="204" t="s">
        <v>1283</v>
      </c>
      <c r="L9" s="204" t="s">
        <v>1266</v>
      </c>
      <c r="M9" s="204" t="s">
        <v>574</v>
      </c>
      <c r="N9" s="353">
        <v>100</v>
      </c>
      <c r="P9" s="204" t="s">
        <v>575</v>
      </c>
      <c r="R9" s="204" t="s">
        <v>1248</v>
      </c>
      <c r="S9" s="353">
        <v>0</v>
      </c>
      <c r="T9" s="204" t="s">
        <v>429</v>
      </c>
      <c r="U9" s="204" t="s">
        <v>307</v>
      </c>
      <c r="Z9" s="204" t="s">
        <v>296</v>
      </c>
      <c r="AA9" s="204" t="s">
        <v>297</v>
      </c>
      <c r="AC9" s="204" t="s">
        <v>1274</v>
      </c>
      <c r="AD9" s="204" t="s">
        <v>1251</v>
      </c>
      <c r="AE9" s="353">
        <v>50227</v>
      </c>
      <c r="AF9" s="353">
        <v>0</v>
      </c>
      <c r="AG9" s="353">
        <v>0</v>
      </c>
      <c r="AH9" s="204" t="s">
        <v>298</v>
      </c>
      <c r="AI9" s="353">
        <v>1</v>
      </c>
      <c r="AJ9" s="353">
        <v>1</v>
      </c>
      <c r="AK9" s="353">
        <v>0</v>
      </c>
      <c r="AL9" s="353">
        <v>0</v>
      </c>
      <c r="AM9" s="353">
        <v>0</v>
      </c>
      <c r="AQ9" s="353">
        <v>0</v>
      </c>
      <c r="BC9" s="353">
        <v>0</v>
      </c>
      <c r="BD9" s="353">
        <v>0</v>
      </c>
      <c r="BF9" s="353">
        <v>0</v>
      </c>
      <c r="BG9" s="204" t="s">
        <v>1248</v>
      </c>
      <c r="BH9" s="204" t="s">
        <v>1248</v>
      </c>
      <c r="BJ9" s="204" t="s">
        <v>233</v>
      </c>
      <c r="BK9" s="353">
        <v>0</v>
      </c>
      <c r="BL9" s="353">
        <v>0</v>
      </c>
      <c r="BM9" s="353">
        <v>0</v>
      </c>
      <c r="BN9" s="353">
        <v>0</v>
      </c>
      <c r="BO9" s="353">
        <v>0</v>
      </c>
      <c r="BP9" s="353">
        <v>0</v>
      </c>
      <c r="BQ9" s="353">
        <v>0</v>
      </c>
      <c r="BT9" s="353">
        <v>0</v>
      </c>
      <c r="BU9" s="353">
        <v>6250</v>
      </c>
      <c r="BX9" s="204" t="s">
        <v>1248</v>
      </c>
      <c r="BY9" s="204" t="s">
        <v>1248</v>
      </c>
      <c r="BZ9" s="204" t="s">
        <v>1254</v>
      </c>
      <c r="CA9" s="353">
        <v>0</v>
      </c>
      <c r="CB9" s="353">
        <v>349.84972795099998</v>
      </c>
      <c r="CC9" s="204" t="s">
        <v>88</v>
      </c>
      <c r="CD9" s="204" t="s">
        <v>300</v>
      </c>
      <c r="CE9" s="204" t="s">
        <v>301</v>
      </c>
      <c r="CF9" s="204" t="s">
        <v>1284</v>
      </c>
      <c r="CG9" s="204" t="s">
        <v>1256</v>
      </c>
      <c r="CH9" s="204" t="s">
        <v>195</v>
      </c>
      <c r="CJ9" s="204" t="s">
        <v>302</v>
      </c>
      <c r="CK9" s="353">
        <v>-9999</v>
      </c>
      <c r="CM9" s="353">
        <v>-9999</v>
      </c>
      <c r="CO9" s="353">
        <v>-9999</v>
      </c>
      <c r="CS9" s="353">
        <v>-9999</v>
      </c>
      <c r="CT9" s="353">
        <v>-9999</v>
      </c>
      <c r="CV9" s="204" t="s">
        <v>1265</v>
      </c>
      <c r="CW9" s="353">
        <v>2.1481446581E-5</v>
      </c>
      <c r="CX9" s="204">
        <v>266</v>
      </c>
      <c r="CY9" s="204">
        <v>0</v>
      </c>
      <c r="CZ9" s="204">
        <v>0</v>
      </c>
      <c r="DA9" s="204">
        <v>10</v>
      </c>
      <c r="DB9" s="353">
        <v>0</v>
      </c>
      <c r="DC9" s="353">
        <v>0</v>
      </c>
      <c r="DD9" s="204">
        <v>10</v>
      </c>
      <c r="DE9" s="353">
        <v>0</v>
      </c>
      <c r="DF9" s="353">
        <v>0</v>
      </c>
      <c r="DG9" s="353">
        <v>2.7775069178299999E-2</v>
      </c>
      <c r="DH9" s="353">
        <v>6195.9207489500004</v>
      </c>
    </row>
    <row r="10" spans="1:112">
      <c r="A10" s="204">
        <v>286</v>
      </c>
      <c r="B10" s="204">
        <v>1</v>
      </c>
      <c r="C10" s="204">
        <v>7943</v>
      </c>
      <c r="D10" s="204">
        <v>0</v>
      </c>
      <c r="E10" s="204">
        <v>286</v>
      </c>
      <c r="F10" s="204">
        <v>0</v>
      </c>
      <c r="G10" s="204">
        <v>286</v>
      </c>
      <c r="H10" s="204" t="s">
        <v>399</v>
      </c>
      <c r="I10" s="354">
        <v>37462</v>
      </c>
      <c r="J10" s="204" t="s">
        <v>399</v>
      </c>
      <c r="K10" s="204" t="s">
        <v>1283</v>
      </c>
      <c r="L10" s="204" t="s">
        <v>1266</v>
      </c>
      <c r="M10" s="204" t="s">
        <v>291</v>
      </c>
      <c r="N10" s="353">
        <v>100</v>
      </c>
      <c r="P10" s="204" t="s">
        <v>400</v>
      </c>
      <c r="R10" s="204" t="s">
        <v>1248</v>
      </c>
      <c r="S10" s="353">
        <v>0</v>
      </c>
      <c r="T10" s="204" t="s">
        <v>293</v>
      </c>
      <c r="U10" s="204" t="s">
        <v>294</v>
      </c>
      <c r="W10" s="204" t="s">
        <v>401</v>
      </c>
      <c r="X10" s="204" t="s">
        <v>1153</v>
      </c>
      <c r="Z10" s="204" t="s">
        <v>296</v>
      </c>
      <c r="AA10" s="204" t="s">
        <v>297</v>
      </c>
      <c r="AB10" s="204" t="s">
        <v>1285</v>
      </c>
      <c r="AC10" s="204" t="s">
        <v>1286</v>
      </c>
      <c r="AD10" s="204" t="s">
        <v>1251</v>
      </c>
      <c r="AE10" s="353">
        <v>204413</v>
      </c>
      <c r="AF10" s="353">
        <v>761505</v>
      </c>
      <c r="AG10" s="353">
        <v>0</v>
      </c>
      <c r="AH10" s="204" t="s">
        <v>298</v>
      </c>
      <c r="AI10" s="353">
        <v>0</v>
      </c>
      <c r="AJ10" s="353">
        <v>3</v>
      </c>
      <c r="AK10" s="353">
        <v>0</v>
      </c>
      <c r="AL10" s="353">
        <v>0</v>
      </c>
      <c r="AM10" s="353">
        <v>0</v>
      </c>
      <c r="AQ10" s="353">
        <v>0</v>
      </c>
      <c r="BC10" s="353">
        <v>0</v>
      </c>
      <c r="BD10" s="353">
        <v>0</v>
      </c>
      <c r="BF10" s="353">
        <v>0</v>
      </c>
      <c r="BG10" s="204" t="s">
        <v>1248</v>
      </c>
      <c r="BH10" s="204" t="s">
        <v>1248</v>
      </c>
      <c r="BJ10" s="204" t="s">
        <v>1270</v>
      </c>
      <c r="BK10" s="353">
        <v>18580</v>
      </c>
      <c r="BL10" s="353">
        <v>2</v>
      </c>
      <c r="BM10" s="353">
        <v>24</v>
      </c>
      <c r="BN10" s="353">
        <v>20</v>
      </c>
      <c r="BO10" s="353">
        <v>0</v>
      </c>
      <c r="BP10" s="353">
        <v>0</v>
      </c>
      <c r="BQ10" s="353">
        <v>648</v>
      </c>
      <c r="BR10" s="204" t="s">
        <v>1261</v>
      </c>
      <c r="BS10" s="204" t="s">
        <v>1248</v>
      </c>
      <c r="BT10" s="353">
        <v>12</v>
      </c>
      <c r="BU10" s="353">
        <v>11500</v>
      </c>
      <c r="BV10" s="204" t="s">
        <v>1248</v>
      </c>
      <c r="BW10" s="204" t="s">
        <v>1253</v>
      </c>
      <c r="BX10" s="204" t="s">
        <v>1248</v>
      </c>
      <c r="BY10" s="204" t="s">
        <v>1248</v>
      </c>
      <c r="BZ10" s="204" t="s">
        <v>640</v>
      </c>
      <c r="CA10" s="353">
        <v>18580</v>
      </c>
      <c r="CB10" s="353">
        <v>426.141141877</v>
      </c>
      <c r="CC10" s="204" t="s">
        <v>393</v>
      </c>
      <c r="CD10" s="204" t="s">
        <v>300</v>
      </c>
      <c r="CE10" s="204" t="s">
        <v>301</v>
      </c>
      <c r="CF10" s="204" t="s">
        <v>1284</v>
      </c>
      <c r="CG10" s="204" t="s">
        <v>1256</v>
      </c>
      <c r="CH10" s="204" t="s">
        <v>195</v>
      </c>
      <c r="CJ10" s="204" t="s">
        <v>302</v>
      </c>
      <c r="CK10" s="353">
        <v>-9999</v>
      </c>
      <c r="CM10" s="353">
        <v>-9999</v>
      </c>
      <c r="CO10" s="353">
        <v>-9999</v>
      </c>
      <c r="CS10" s="353">
        <v>-9999</v>
      </c>
      <c r="CT10" s="353">
        <v>-9999</v>
      </c>
      <c r="CV10" s="204" t="s">
        <v>1265</v>
      </c>
      <c r="CW10" s="353">
        <v>2.1481446581E-5</v>
      </c>
      <c r="CX10" s="204">
        <v>286</v>
      </c>
      <c r="CY10" s="204">
        <v>0</v>
      </c>
      <c r="CZ10" s="204">
        <v>0</v>
      </c>
      <c r="DA10" s="204">
        <v>10</v>
      </c>
      <c r="DB10" s="353">
        <v>0</v>
      </c>
      <c r="DC10" s="353">
        <v>0</v>
      </c>
      <c r="DD10" s="204">
        <v>10</v>
      </c>
      <c r="DE10" s="353">
        <v>0</v>
      </c>
      <c r="DF10" s="353">
        <v>0</v>
      </c>
      <c r="DG10" s="353">
        <v>2.7775069178299999E-2</v>
      </c>
      <c r="DH10" s="353">
        <v>11291.656708099999</v>
      </c>
    </row>
    <row r="11" spans="1:112">
      <c r="A11" s="204">
        <v>287</v>
      </c>
      <c r="B11" s="204">
        <v>1</v>
      </c>
      <c r="C11" s="204">
        <v>7944</v>
      </c>
      <c r="D11" s="204">
        <v>0</v>
      </c>
      <c r="E11" s="204">
        <v>287</v>
      </c>
      <c r="F11" s="204">
        <v>0</v>
      </c>
      <c r="G11" s="204">
        <v>287</v>
      </c>
      <c r="H11" s="204" t="s">
        <v>290</v>
      </c>
      <c r="I11" s="354">
        <v>37462</v>
      </c>
      <c r="J11" s="204" t="s">
        <v>290</v>
      </c>
      <c r="K11" s="204" t="s">
        <v>1283</v>
      </c>
      <c r="L11" s="204" t="s">
        <v>1266</v>
      </c>
      <c r="M11" s="204" t="s">
        <v>291</v>
      </c>
      <c r="N11" s="353">
        <v>100</v>
      </c>
      <c r="P11" s="204" t="s">
        <v>292</v>
      </c>
      <c r="R11" s="204" t="s">
        <v>1248</v>
      </c>
      <c r="S11" s="353">
        <v>0</v>
      </c>
      <c r="T11" s="204" t="s">
        <v>293</v>
      </c>
      <c r="U11" s="204" t="s">
        <v>294</v>
      </c>
      <c r="W11" s="204" t="s">
        <v>295</v>
      </c>
      <c r="Z11" s="204" t="s">
        <v>296</v>
      </c>
      <c r="AA11" s="204" t="s">
        <v>297</v>
      </c>
      <c r="AB11" s="204" t="s">
        <v>1287</v>
      </c>
      <c r="AC11" s="204" t="s">
        <v>1259</v>
      </c>
      <c r="AD11" s="204" t="s">
        <v>1251</v>
      </c>
      <c r="AE11" s="353">
        <v>50206</v>
      </c>
      <c r="AF11" s="353">
        <v>190376</v>
      </c>
      <c r="AG11" s="353">
        <v>0</v>
      </c>
      <c r="AH11" s="204" t="s">
        <v>298</v>
      </c>
      <c r="AI11" s="353">
        <v>1</v>
      </c>
      <c r="AJ11" s="353">
        <v>1</v>
      </c>
      <c r="AK11" s="353">
        <v>0</v>
      </c>
      <c r="AL11" s="353">
        <v>0</v>
      </c>
      <c r="AM11" s="353">
        <v>0</v>
      </c>
      <c r="AQ11" s="353">
        <v>0</v>
      </c>
      <c r="BC11" s="353">
        <v>0</v>
      </c>
      <c r="BD11" s="353">
        <v>0</v>
      </c>
      <c r="BF11" s="353">
        <v>0</v>
      </c>
      <c r="BG11" s="204" t="s">
        <v>1248</v>
      </c>
      <c r="BH11" s="204" t="s">
        <v>1248</v>
      </c>
      <c r="BJ11" s="204" t="s">
        <v>1260</v>
      </c>
      <c r="BK11" s="353">
        <v>0</v>
      </c>
      <c r="BL11" s="353">
        <v>0</v>
      </c>
      <c r="BM11" s="353">
        <v>0</v>
      </c>
      <c r="BN11" s="353">
        <v>0</v>
      </c>
      <c r="BO11" s="353">
        <v>0</v>
      </c>
      <c r="BP11" s="353">
        <v>0</v>
      </c>
      <c r="BQ11" s="353">
        <v>0</v>
      </c>
      <c r="BT11" s="353">
        <v>0</v>
      </c>
      <c r="BU11" s="353">
        <v>2875</v>
      </c>
      <c r="BX11" s="204" t="s">
        <v>1248</v>
      </c>
      <c r="BY11" s="204" t="s">
        <v>1248</v>
      </c>
      <c r="CA11" s="353">
        <v>0</v>
      </c>
      <c r="CB11" s="353">
        <v>279.69102410199997</v>
      </c>
      <c r="CC11" s="204" t="s">
        <v>299</v>
      </c>
      <c r="CD11" s="204" t="s">
        <v>300</v>
      </c>
      <c r="CE11" s="204" t="s">
        <v>301</v>
      </c>
      <c r="CF11" s="204" t="s">
        <v>1284</v>
      </c>
      <c r="CG11" s="204" t="s">
        <v>1256</v>
      </c>
      <c r="CH11" s="204" t="s">
        <v>195</v>
      </c>
      <c r="CJ11" s="204" t="s">
        <v>302</v>
      </c>
      <c r="CK11" s="353">
        <v>-9999</v>
      </c>
      <c r="CM11" s="353">
        <v>-9999</v>
      </c>
      <c r="CO11" s="353">
        <v>-9999</v>
      </c>
      <c r="CS11" s="353">
        <v>-9999</v>
      </c>
      <c r="CT11" s="353">
        <v>-9999</v>
      </c>
      <c r="CV11" s="204" t="s">
        <v>1265</v>
      </c>
      <c r="CW11" s="353">
        <v>2.1481446581E-5</v>
      </c>
      <c r="CX11" s="204">
        <v>287</v>
      </c>
      <c r="CY11" s="204">
        <v>0</v>
      </c>
      <c r="CZ11" s="204">
        <v>0</v>
      </c>
      <c r="DA11" s="204">
        <v>10</v>
      </c>
      <c r="DB11" s="353">
        <v>0</v>
      </c>
      <c r="DC11" s="353">
        <v>0</v>
      </c>
      <c r="DD11" s="204">
        <v>10</v>
      </c>
      <c r="DE11" s="353">
        <v>0</v>
      </c>
      <c r="DF11" s="353">
        <v>0</v>
      </c>
      <c r="DG11" s="353">
        <v>2.7775069178299999E-2</v>
      </c>
      <c r="DH11" s="353">
        <v>2932.3641195599998</v>
      </c>
    </row>
    <row r="12" spans="1:112">
      <c r="A12" s="204">
        <v>304</v>
      </c>
      <c r="B12" s="204">
        <v>1</v>
      </c>
      <c r="C12" s="204">
        <v>8225</v>
      </c>
      <c r="D12" s="204">
        <v>1</v>
      </c>
      <c r="E12" s="204">
        <v>304</v>
      </c>
      <c r="F12" s="204">
        <v>1</v>
      </c>
      <c r="G12" s="204">
        <v>304</v>
      </c>
      <c r="H12" s="204" t="s">
        <v>627</v>
      </c>
      <c r="I12" s="354">
        <v>37462</v>
      </c>
      <c r="J12" s="204" t="s">
        <v>627</v>
      </c>
      <c r="K12" s="204" t="s">
        <v>1283</v>
      </c>
      <c r="L12" s="204" t="s">
        <v>1288</v>
      </c>
      <c r="M12" s="204" t="s">
        <v>628</v>
      </c>
      <c r="N12" s="353">
        <v>100</v>
      </c>
      <c r="O12" s="204" t="s">
        <v>1289</v>
      </c>
      <c r="P12" s="204" t="s">
        <v>629</v>
      </c>
      <c r="R12" s="204" t="s">
        <v>1248</v>
      </c>
      <c r="S12" s="353">
        <v>0</v>
      </c>
      <c r="T12" s="204" t="s">
        <v>625</v>
      </c>
      <c r="U12" s="204" t="s">
        <v>294</v>
      </c>
      <c r="W12" s="204" t="s">
        <v>630</v>
      </c>
      <c r="Z12" s="204" t="s">
        <v>296</v>
      </c>
      <c r="AA12" s="204" t="s">
        <v>297</v>
      </c>
      <c r="AB12" s="204" t="s">
        <v>1290</v>
      </c>
      <c r="AC12" s="204" t="s">
        <v>1278</v>
      </c>
      <c r="AD12" s="204" t="s">
        <v>384</v>
      </c>
      <c r="AE12" s="353">
        <v>112100</v>
      </c>
      <c r="AF12" s="353">
        <v>97900</v>
      </c>
      <c r="AG12" s="353">
        <v>0</v>
      </c>
      <c r="AH12" s="204" t="s">
        <v>423</v>
      </c>
      <c r="AI12" s="353">
        <v>1</v>
      </c>
      <c r="AJ12" s="353">
        <v>1</v>
      </c>
      <c r="AK12" s="353">
        <v>3</v>
      </c>
      <c r="AL12" s="353">
        <v>2</v>
      </c>
      <c r="AM12" s="353">
        <v>8</v>
      </c>
      <c r="AN12" s="204" t="s">
        <v>186</v>
      </c>
      <c r="AO12" s="204" t="s">
        <v>1261</v>
      </c>
      <c r="AP12" s="204" t="s">
        <v>1248</v>
      </c>
      <c r="AQ12" s="353">
        <v>1</v>
      </c>
      <c r="AR12" s="204" t="s">
        <v>1248</v>
      </c>
      <c r="AS12" s="204" t="s">
        <v>1248</v>
      </c>
      <c r="AT12" s="204" t="s">
        <v>1248</v>
      </c>
      <c r="AU12" s="204" t="s">
        <v>1248</v>
      </c>
      <c r="AV12" s="204" t="s">
        <v>631</v>
      </c>
      <c r="AW12" s="204" t="s">
        <v>1248</v>
      </c>
      <c r="AX12" s="204" t="s">
        <v>1253</v>
      </c>
      <c r="AY12" s="204" t="s">
        <v>1248</v>
      </c>
      <c r="AZ12" s="204" t="s">
        <v>1248</v>
      </c>
      <c r="BA12" s="204" t="s">
        <v>1248</v>
      </c>
      <c r="BB12" s="204" t="s">
        <v>802</v>
      </c>
      <c r="BC12" s="353">
        <v>4000</v>
      </c>
      <c r="BD12" s="353">
        <v>1424</v>
      </c>
      <c r="BE12" s="204" t="s">
        <v>723</v>
      </c>
      <c r="BF12" s="353">
        <v>0</v>
      </c>
      <c r="BG12" s="204" t="s">
        <v>1248</v>
      </c>
      <c r="BH12" s="204" t="s">
        <v>1248</v>
      </c>
      <c r="BI12" s="204" t="s">
        <v>723</v>
      </c>
      <c r="BK12" s="353">
        <v>0</v>
      </c>
      <c r="BL12" s="353">
        <v>0</v>
      </c>
      <c r="BM12" s="353">
        <v>0</v>
      </c>
      <c r="BN12" s="353">
        <v>0</v>
      </c>
      <c r="BO12" s="353">
        <v>0</v>
      </c>
      <c r="BP12" s="353">
        <v>0</v>
      </c>
      <c r="BQ12" s="353">
        <v>0</v>
      </c>
      <c r="BT12" s="353">
        <v>0</v>
      </c>
      <c r="BU12" s="353">
        <v>0</v>
      </c>
      <c r="CA12" s="353">
        <v>0</v>
      </c>
      <c r="CB12" s="353">
        <v>283.98025740999998</v>
      </c>
      <c r="CC12" s="204" t="s">
        <v>425</v>
      </c>
      <c r="CD12" s="204" t="s">
        <v>300</v>
      </c>
      <c r="CE12" s="204" t="s">
        <v>301</v>
      </c>
      <c r="CF12" s="204" t="s">
        <v>1284</v>
      </c>
      <c r="CG12" s="204" t="s">
        <v>1256</v>
      </c>
      <c r="CH12" s="204" t="s">
        <v>195</v>
      </c>
      <c r="CJ12" s="204" t="s">
        <v>302</v>
      </c>
      <c r="CK12" s="353">
        <v>-9999</v>
      </c>
      <c r="CM12" s="353">
        <v>-9999</v>
      </c>
      <c r="CO12" s="353">
        <v>-9999</v>
      </c>
      <c r="CS12" s="353">
        <v>-9999</v>
      </c>
      <c r="CT12" s="353">
        <v>-9999</v>
      </c>
      <c r="CV12" s="204" t="s">
        <v>1265</v>
      </c>
      <c r="CW12" s="353">
        <v>2.1481446581E-5</v>
      </c>
      <c r="CX12" s="204">
        <v>304</v>
      </c>
      <c r="CY12" s="204">
        <v>3079</v>
      </c>
      <c r="CZ12" s="204">
        <v>3652</v>
      </c>
      <c r="DA12" s="204">
        <v>5</v>
      </c>
      <c r="DB12" s="353">
        <v>3.8069999998899998E-2</v>
      </c>
      <c r="DC12" s="353">
        <v>7.3932749999799998E-6</v>
      </c>
      <c r="DD12" s="204">
        <v>6</v>
      </c>
      <c r="DE12" s="353">
        <v>4781.7976008699998</v>
      </c>
      <c r="DF12" s="353">
        <v>131837.45546299999</v>
      </c>
      <c r="DG12" s="353">
        <v>2.7775069178299999E-2</v>
      </c>
      <c r="DH12" s="353">
        <v>4102.6148428799997</v>
      </c>
    </row>
    <row r="13" spans="1:112">
      <c r="A13" s="204">
        <v>315</v>
      </c>
      <c r="B13" s="204">
        <v>1</v>
      </c>
      <c r="C13" s="204">
        <v>8305</v>
      </c>
      <c r="D13" s="204">
        <v>1</v>
      </c>
      <c r="E13" s="204">
        <v>315</v>
      </c>
      <c r="F13" s="204">
        <v>1</v>
      </c>
      <c r="G13" s="204">
        <v>315</v>
      </c>
      <c r="H13" s="204" t="s">
        <v>622</v>
      </c>
      <c r="I13" s="354">
        <v>37462</v>
      </c>
      <c r="J13" s="204" t="s">
        <v>622</v>
      </c>
      <c r="K13" s="204" t="s">
        <v>1283</v>
      </c>
      <c r="L13" s="204" t="s">
        <v>1271</v>
      </c>
      <c r="M13" s="204" t="s">
        <v>623</v>
      </c>
      <c r="N13" s="353">
        <v>100</v>
      </c>
      <c r="O13" s="204" t="s">
        <v>1291</v>
      </c>
      <c r="P13" s="204" t="s">
        <v>624</v>
      </c>
      <c r="R13" s="204" t="s">
        <v>1248</v>
      </c>
      <c r="S13" s="353">
        <v>0</v>
      </c>
      <c r="T13" s="204" t="s">
        <v>625</v>
      </c>
      <c r="U13" s="204" t="s">
        <v>294</v>
      </c>
      <c r="W13" s="204" t="s">
        <v>626</v>
      </c>
      <c r="Z13" s="204" t="s">
        <v>296</v>
      </c>
      <c r="AA13" s="204" t="s">
        <v>297</v>
      </c>
      <c r="AB13" s="204" t="s">
        <v>1290</v>
      </c>
      <c r="AC13" s="204" t="s">
        <v>1292</v>
      </c>
      <c r="AD13" s="204" t="s">
        <v>384</v>
      </c>
      <c r="AE13" s="353">
        <v>115522</v>
      </c>
      <c r="AF13" s="353">
        <v>35158</v>
      </c>
      <c r="AG13" s="353">
        <v>0</v>
      </c>
      <c r="AH13" s="204" t="s">
        <v>423</v>
      </c>
      <c r="AI13" s="353">
        <v>1</v>
      </c>
      <c r="AJ13" s="353">
        <v>2</v>
      </c>
      <c r="AK13" s="353">
        <v>4</v>
      </c>
      <c r="AL13" s="353">
        <v>2.5</v>
      </c>
      <c r="AM13" s="353">
        <v>9</v>
      </c>
      <c r="AN13" s="204" t="s">
        <v>186</v>
      </c>
      <c r="AO13" s="204" t="s">
        <v>1248</v>
      </c>
      <c r="AP13" s="204" t="s">
        <v>1248</v>
      </c>
      <c r="AQ13" s="353">
        <v>0</v>
      </c>
      <c r="AR13" s="204" t="s">
        <v>1248</v>
      </c>
      <c r="AS13" s="204" t="s">
        <v>1248</v>
      </c>
      <c r="AT13" s="204" t="s">
        <v>1248</v>
      </c>
      <c r="AU13" s="204" t="s">
        <v>1248</v>
      </c>
      <c r="AW13" s="204" t="s">
        <v>1248</v>
      </c>
      <c r="AX13" s="204" t="s">
        <v>1253</v>
      </c>
      <c r="AZ13" s="204" t="s">
        <v>1248</v>
      </c>
      <c r="BB13" s="204" t="s">
        <v>1293</v>
      </c>
      <c r="BC13" s="353">
        <v>4000</v>
      </c>
      <c r="BD13" s="353">
        <v>1550</v>
      </c>
      <c r="BE13" s="204" t="s">
        <v>723</v>
      </c>
      <c r="BF13" s="353">
        <v>0</v>
      </c>
      <c r="BG13" s="204" t="s">
        <v>1248</v>
      </c>
      <c r="BH13" s="204" t="s">
        <v>1248</v>
      </c>
      <c r="BI13" s="204" t="s">
        <v>723</v>
      </c>
      <c r="BK13" s="353">
        <v>0</v>
      </c>
      <c r="BL13" s="353">
        <v>0</v>
      </c>
      <c r="BM13" s="353">
        <v>0</v>
      </c>
      <c r="BN13" s="353">
        <v>0</v>
      </c>
      <c r="BO13" s="353">
        <v>0</v>
      </c>
      <c r="BP13" s="353">
        <v>0</v>
      </c>
      <c r="BQ13" s="353">
        <v>0</v>
      </c>
      <c r="BT13" s="353">
        <v>0</v>
      </c>
      <c r="BU13" s="353">
        <v>0</v>
      </c>
      <c r="CA13" s="353">
        <v>0</v>
      </c>
      <c r="CB13" s="353">
        <v>284.74099480699999</v>
      </c>
      <c r="CC13" s="204" t="s">
        <v>498</v>
      </c>
      <c r="CD13" s="204" t="s">
        <v>300</v>
      </c>
      <c r="CE13" s="204" t="s">
        <v>301</v>
      </c>
      <c r="CF13" s="204" t="s">
        <v>1284</v>
      </c>
      <c r="CG13" s="204" t="s">
        <v>1256</v>
      </c>
      <c r="CH13" s="204" t="s">
        <v>195</v>
      </c>
      <c r="CJ13" s="204" t="s">
        <v>302</v>
      </c>
      <c r="CK13" s="353">
        <v>-9999</v>
      </c>
      <c r="CM13" s="353">
        <v>-9999</v>
      </c>
      <c r="CO13" s="353">
        <v>-9999</v>
      </c>
      <c r="CS13" s="353">
        <v>-9999</v>
      </c>
      <c r="CT13" s="353">
        <v>-9999</v>
      </c>
      <c r="CV13" s="204" t="s">
        <v>1265</v>
      </c>
      <c r="CW13" s="353">
        <v>2.1481446581E-5</v>
      </c>
      <c r="CX13" s="204">
        <v>315</v>
      </c>
      <c r="CY13" s="204">
        <v>3079</v>
      </c>
      <c r="CZ13" s="204">
        <v>3652</v>
      </c>
      <c r="DA13" s="204">
        <v>5</v>
      </c>
      <c r="DB13" s="353">
        <v>3.8069999998899998E-2</v>
      </c>
      <c r="DC13" s="353">
        <v>7.3932749999799998E-6</v>
      </c>
      <c r="DD13" s="204">
        <v>6</v>
      </c>
      <c r="DE13" s="353">
        <v>4781.7976008699998</v>
      </c>
      <c r="DF13" s="353">
        <v>131837.45546299999</v>
      </c>
      <c r="DG13" s="353">
        <v>2.7775069178299999E-2</v>
      </c>
      <c r="DH13" s="353">
        <v>4133.9508092899996</v>
      </c>
    </row>
    <row r="14" spans="1:112">
      <c r="A14" s="204">
        <v>316</v>
      </c>
      <c r="B14" s="204">
        <v>2</v>
      </c>
      <c r="C14" s="204">
        <v>8333</v>
      </c>
      <c r="D14" s="204">
        <v>0</v>
      </c>
      <c r="E14" s="204">
        <v>316</v>
      </c>
      <c r="F14" s="204">
        <v>0</v>
      </c>
      <c r="G14" s="204">
        <v>316</v>
      </c>
      <c r="H14" s="204" t="s">
        <v>432</v>
      </c>
      <c r="I14" s="354">
        <v>37462</v>
      </c>
      <c r="J14" s="204" t="s">
        <v>432</v>
      </c>
      <c r="K14" s="204" t="s">
        <v>1283</v>
      </c>
      <c r="L14" s="204" t="s">
        <v>1294</v>
      </c>
      <c r="M14" s="204" t="s">
        <v>433</v>
      </c>
      <c r="N14" s="353">
        <v>100</v>
      </c>
      <c r="P14" s="204" t="s">
        <v>434</v>
      </c>
      <c r="R14" s="204" t="s">
        <v>1248</v>
      </c>
      <c r="S14" s="353">
        <v>0</v>
      </c>
      <c r="T14" s="204" t="s">
        <v>435</v>
      </c>
      <c r="U14" s="204" t="s">
        <v>307</v>
      </c>
      <c r="W14" s="204" t="s">
        <v>436</v>
      </c>
      <c r="Z14" s="204" t="s">
        <v>296</v>
      </c>
      <c r="AA14" s="204" t="s">
        <v>297</v>
      </c>
      <c r="AB14" s="204" t="s">
        <v>1295</v>
      </c>
      <c r="AC14" s="204" t="s">
        <v>1278</v>
      </c>
      <c r="AD14" s="204" t="s">
        <v>384</v>
      </c>
      <c r="AE14" s="353">
        <v>87800</v>
      </c>
      <c r="AF14" s="353">
        <v>212200</v>
      </c>
      <c r="AG14" s="353">
        <v>0</v>
      </c>
      <c r="AH14" s="204" t="s">
        <v>423</v>
      </c>
      <c r="AI14" s="353">
        <v>1</v>
      </c>
      <c r="AJ14" s="353">
        <v>1</v>
      </c>
      <c r="AK14" s="353">
        <v>5</v>
      </c>
      <c r="AL14" s="353">
        <v>2.5</v>
      </c>
      <c r="AM14" s="353">
        <v>8</v>
      </c>
      <c r="AN14" s="204" t="s">
        <v>186</v>
      </c>
      <c r="AO14" s="204" t="s">
        <v>1248</v>
      </c>
      <c r="AP14" s="204" t="s">
        <v>1248</v>
      </c>
      <c r="AQ14" s="353">
        <v>0</v>
      </c>
      <c r="AR14" s="204" t="s">
        <v>1296</v>
      </c>
      <c r="AS14" s="204" t="s">
        <v>1248</v>
      </c>
      <c r="AT14" s="204" t="s">
        <v>1282</v>
      </c>
      <c r="AU14" s="204" t="s">
        <v>1296</v>
      </c>
      <c r="AV14" s="204" t="s">
        <v>437</v>
      </c>
      <c r="AW14" s="204" t="s">
        <v>1248</v>
      </c>
      <c r="AX14" s="204" t="s">
        <v>1253</v>
      </c>
      <c r="AY14" s="204" t="s">
        <v>1248</v>
      </c>
      <c r="AZ14" s="204" t="s">
        <v>1248</v>
      </c>
      <c r="BA14" s="204" t="s">
        <v>1248</v>
      </c>
      <c r="BB14" s="204" t="s">
        <v>437</v>
      </c>
      <c r="BC14" s="353">
        <v>4800</v>
      </c>
      <c r="BD14" s="353">
        <v>2622</v>
      </c>
      <c r="BE14" s="204" t="s">
        <v>723</v>
      </c>
      <c r="BF14" s="353">
        <v>0</v>
      </c>
      <c r="BG14" s="204" t="s">
        <v>1248</v>
      </c>
      <c r="BH14" s="204" t="s">
        <v>1248</v>
      </c>
      <c r="BI14" s="204" t="s">
        <v>723</v>
      </c>
      <c r="BK14" s="353">
        <v>0</v>
      </c>
      <c r="BL14" s="353">
        <v>0</v>
      </c>
      <c r="BM14" s="353">
        <v>0</v>
      </c>
      <c r="BN14" s="353">
        <v>0</v>
      </c>
      <c r="BO14" s="353">
        <v>0</v>
      </c>
      <c r="BP14" s="353">
        <v>0</v>
      </c>
      <c r="BQ14" s="353">
        <v>0</v>
      </c>
      <c r="BT14" s="353">
        <v>0</v>
      </c>
      <c r="BU14" s="353">
        <v>0</v>
      </c>
      <c r="CA14" s="353">
        <v>0</v>
      </c>
      <c r="CB14" s="353">
        <v>317.61279537899998</v>
      </c>
      <c r="CC14" s="204" t="s">
        <v>425</v>
      </c>
      <c r="CD14" s="204" t="s">
        <v>300</v>
      </c>
      <c r="CE14" s="204" t="s">
        <v>301</v>
      </c>
      <c r="CF14" s="204" t="s">
        <v>1284</v>
      </c>
      <c r="CG14" s="204" t="s">
        <v>1256</v>
      </c>
      <c r="CH14" s="204" t="s">
        <v>195</v>
      </c>
      <c r="CI14" s="204" t="s">
        <v>438</v>
      </c>
      <c r="CJ14" s="204" t="s">
        <v>302</v>
      </c>
      <c r="CK14" s="353">
        <v>-9999</v>
      </c>
      <c r="CM14" s="353">
        <v>-9999</v>
      </c>
      <c r="CO14" s="353">
        <v>-9999</v>
      </c>
      <c r="CS14" s="353">
        <v>-9999</v>
      </c>
      <c r="CT14" s="353">
        <v>-9999</v>
      </c>
      <c r="CV14" s="204" t="s">
        <v>1265</v>
      </c>
      <c r="CW14" s="353">
        <v>2.1481446581E-5</v>
      </c>
      <c r="CX14" s="204">
        <v>316</v>
      </c>
      <c r="CY14" s="204">
        <v>0</v>
      </c>
      <c r="CZ14" s="204">
        <v>0</v>
      </c>
      <c r="DA14" s="204">
        <v>10</v>
      </c>
      <c r="DB14" s="353">
        <v>0</v>
      </c>
      <c r="DC14" s="353">
        <v>0</v>
      </c>
      <c r="DD14" s="204">
        <v>10</v>
      </c>
      <c r="DE14" s="353">
        <v>0</v>
      </c>
      <c r="DF14" s="353">
        <v>0</v>
      </c>
      <c r="DG14" s="353">
        <v>2.7775069178299999E-2</v>
      </c>
      <c r="DH14" s="353">
        <v>4717.7058033699996</v>
      </c>
    </row>
    <row r="15" spans="1:112">
      <c r="A15" s="204">
        <v>317</v>
      </c>
      <c r="B15" s="204">
        <v>2</v>
      </c>
      <c r="C15" s="204">
        <v>8337</v>
      </c>
      <c r="D15" s="204">
        <v>1</v>
      </c>
      <c r="E15" s="204">
        <v>317</v>
      </c>
      <c r="F15" s="204">
        <v>0</v>
      </c>
      <c r="G15" s="204">
        <v>317</v>
      </c>
      <c r="H15" s="204" t="s">
        <v>1077</v>
      </c>
      <c r="I15" s="354">
        <v>37462</v>
      </c>
      <c r="J15" s="204" t="s">
        <v>1077</v>
      </c>
      <c r="K15" s="204" t="s">
        <v>1283</v>
      </c>
      <c r="L15" s="204" t="s">
        <v>1294</v>
      </c>
      <c r="M15" s="204" t="s">
        <v>1078</v>
      </c>
      <c r="N15" s="353">
        <v>100</v>
      </c>
      <c r="P15" s="204" t="s">
        <v>652</v>
      </c>
      <c r="R15" s="204" t="s">
        <v>1248</v>
      </c>
      <c r="S15" s="353">
        <v>0</v>
      </c>
      <c r="T15" s="204" t="s">
        <v>1076</v>
      </c>
      <c r="U15" s="204" t="s">
        <v>294</v>
      </c>
      <c r="W15" s="204" t="s">
        <v>401</v>
      </c>
      <c r="Z15" s="204" t="s">
        <v>296</v>
      </c>
      <c r="AA15" s="204" t="s">
        <v>297</v>
      </c>
      <c r="AB15" s="204" t="s">
        <v>1050</v>
      </c>
      <c r="AC15" s="204" t="s">
        <v>1259</v>
      </c>
      <c r="AD15" s="204" t="s">
        <v>1251</v>
      </c>
      <c r="AE15" s="353">
        <v>28778</v>
      </c>
      <c r="AF15" s="353">
        <v>204516</v>
      </c>
      <c r="AG15" s="353">
        <v>0</v>
      </c>
      <c r="AH15" s="204" t="s">
        <v>298</v>
      </c>
      <c r="AI15" s="353">
        <v>1</v>
      </c>
      <c r="AJ15" s="353">
        <v>1</v>
      </c>
      <c r="AK15" s="353">
        <v>0</v>
      </c>
      <c r="AL15" s="353">
        <v>0</v>
      </c>
      <c r="AM15" s="353">
        <v>0</v>
      </c>
      <c r="AQ15" s="353">
        <v>0</v>
      </c>
      <c r="BC15" s="353">
        <v>0</v>
      </c>
      <c r="BD15" s="353">
        <v>0</v>
      </c>
      <c r="BF15" s="353">
        <v>0</v>
      </c>
      <c r="BG15" s="204" t="s">
        <v>1248</v>
      </c>
      <c r="BH15" s="204" t="s">
        <v>1248</v>
      </c>
      <c r="BJ15" s="204" t="s">
        <v>1270</v>
      </c>
      <c r="BK15" s="353">
        <v>8744</v>
      </c>
      <c r="BL15" s="353">
        <v>2</v>
      </c>
      <c r="BM15" s="353">
        <v>9</v>
      </c>
      <c r="BN15" s="353">
        <v>0</v>
      </c>
      <c r="BO15" s="353">
        <v>8</v>
      </c>
      <c r="BP15" s="353">
        <v>1</v>
      </c>
      <c r="BQ15" s="353">
        <v>972</v>
      </c>
      <c r="BR15" s="204" t="s">
        <v>1261</v>
      </c>
      <c r="BS15" s="204" t="s">
        <v>1248</v>
      </c>
      <c r="BT15" s="353">
        <v>9</v>
      </c>
      <c r="BU15" s="353">
        <v>13440</v>
      </c>
      <c r="BV15" s="204" t="s">
        <v>1248</v>
      </c>
      <c r="BW15" s="204" t="s">
        <v>1253</v>
      </c>
      <c r="BX15" s="204" t="s">
        <v>1248</v>
      </c>
      <c r="BY15" s="204" t="s">
        <v>1248</v>
      </c>
      <c r="CA15" s="353">
        <v>8744</v>
      </c>
      <c r="CB15" s="353">
        <v>475.630389503</v>
      </c>
      <c r="CC15" s="204" t="s">
        <v>299</v>
      </c>
      <c r="CD15" s="204" t="s">
        <v>300</v>
      </c>
      <c r="CE15" s="204" t="s">
        <v>301</v>
      </c>
      <c r="CF15" s="204" t="s">
        <v>1297</v>
      </c>
      <c r="CG15" s="204" t="s">
        <v>1256</v>
      </c>
      <c r="CH15" s="204" t="s">
        <v>1298</v>
      </c>
      <c r="CI15" s="204" t="s">
        <v>351</v>
      </c>
      <c r="CJ15" s="204" t="s">
        <v>678</v>
      </c>
      <c r="CK15" s="353">
        <v>-9999</v>
      </c>
      <c r="CM15" s="353">
        <v>-9999</v>
      </c>
      <c r="CO15" s="353">
        <v>-9999</v>
      </c>
      <c r="CS15" s="353">
        <v>-9999</v>
      </c>
      <c r="CT15" s="353">
        <v>-9999</v>
      </c>
      <c r="CV15" s="204" t="s">
        <v>1265</v>
      </c>
      <c r="CW15" s="353">
        <v>4.84062517235E-4</v>
      </c>
      <c r="CX15" s="204">
        <v>317</v>
      </c>
      <c r="CY15" s="204">
        <v>0</v>
      </c>
      <c r="CZ15" s="204">
        <v>0</v>
      </c>
      <c r="DA15" s="204">
        <v>10</v>
      </c>
      <c r="DB15" s="353">
        <v>0</v>
      </c>
      <c r="DC15" s="353">
        <v>0</v>
      </c>
      <c r="DD15" s="204">
        <v>6</v>
      </c>
      <c r="DE15" s="353">
        <v>4781.7976008699998</v>
      </c>
      <c r="DF15" s="353">
        <v>131837.45546299999</v>
      </c>
      <c r="DG15" s="353">
        <v>0.148914391663</v>
      </c>
      <c r="DH15" s="353">
        <v>14101.0567407</v>
      </c>
    </row>
    <row r="16" spans="1:112">
      <c r="A16" s="204">
        <v>318</v>
      </c>
      <c r="B16" s="204">
        <v>2</v>
      </c>
      <c r="C16" s="204">
        <v>8338</v>
      </c>
      <c r="D16" s="204">
        <v>1</v>
      </c>
      <c r="E16" s="204">
        <v>318</v>
      </c>
      <c r="F16" s="204">
        <v>3</v>
      </c>
      <c r="G16" s="204">
        <v>318</v>
      </c>
      <c r="H16" s="204" t="s">
        <v>650</v>
      </c>
      <c r="I16" s="354">
        <v>37462</v>
      </c>
      <c r="J16" s="204" t="s">
        <v>650</v>
      </c>
      <c r="K16" s="204" t="s">
        <v>1283</v>
      </c>
      <c r="L16" s="204" t="s">
        <v>1247</v>
      </c>
      <c r="M16" s="204" t="s">
        <v>651</v>
      </c>
      <c r="N16" s="353">
        <v>100</v>
      </c>
      <c r="P16" s="204" t="s">
        <v>652</v>
      </c>
      <c r="R16" s="204" t="s">
        <v>1248</v>
      </c>
      <c r="S16" s="353">
        <v>0</v>
      </c>
      <c r="T16" s="204" t="s">
        <v>429</v>
      </c>
      <c r="U16" s="204" t="s">
        <v>307</v>
      </c>
      <c r="W16" s="204" t="s">
        <v>381</v>
      </c>
      <c r="Z16" s="204" t="s">
        <v>296</v>
      </c>
      <c r="AA16" s="204" t="s">
        <v>297</v>
      </c>
      <c r="AB16" s="204" t="s">
        <v>1299</v>
      </c>
      <c r="AC16" s="204" t="s">
        <v>1292</v>
      </c>
      <c r="AD16" s="204" t="s">
        <v>1251</v>
      </c>
      <c r="AE16" s="353">
        <v>23016</v>
      </c>
      <c r="AF16" s="353">
        <v>16924</v>
      </c>
      <c r="AG16" s="353">
        <v>0</v>
      </c>
      <c r="AH16" s="204" t="s">
        <v>298</v>
      </c>
      <c r="AI16" s="353">
        <v>0</v>
      </c>
      <c r="AJ16" s="353">
        <v>3</v>
      </c>
      <c r="AK16" s="353">
        <v>0</v>
      </c>
      <c r="AL16" s="353">
        <v>0</v>
      </c>
      <c r="AM16" s="353">
        <v>0</v>
      </c>
      <c r="AQ16" s="353">
        <v>0</v>
      </c>
      <c r="BC16" s="353">
        <v>0</v>
      </c>
      <c r="BD16" s="353">
        <v>0</v>
      </c>
      <c r="BF16" s="353">
        <v>0</v>
      </c>
      <c r="BG16" s="204" t="s">
        <v>1248</v>
      </c>
      <c r="BH16" s="204" t="s">
        <v>1248</v>
      </c>
      <c r="BJ16" s="204" t="s">
        <v>1270</v>
      </c>
      <c r="BK16" s="353">
        <v>2987</v>
      </c>
      <c r="BL16" s="353">
        <v>2</v>
      </c>
      <c r="BM16" s="353">
        <v>3</v>
      </c>
      <c r="BN16" s="353">
        <v>0</v>
      </c>
      <c r="BO16" s="353">
        <v>3</v>
      </c>
      <c r="BP16" s="353">
        <v>0</v>
      </c>
      <c r="BQ16" s="353">
        <v>995</v>
      </c>
      <c r="BR16" s="204" t="s">
        <v>1248</v>
      </c>
      <c r="BS16" s="204" t="s">
        <v>1248</v>
      </c>
      <c r="BT16" s="353">
        <v>0</v>
      </c>
      <c r="BU16" s="353">
        <v>0</v>
      </c>
      <c r="BV16" s="204" t="s">
        <v>1248</v>
      </c>
      <c r="BW16" s="204" t="s">
        <v>1253</v>
      </c>
      <c r="BX16" s="204" t="s">
        <v>1248</v>
      </c>
      <c r="BY16" s="204" t="s">
        <v>1248</v>
      </c>
      <c r="BZ16" s="204" t="s">
        <v>1254</v>
      </c>
      <c r="CA16" s="353">
        <v>2987</v>
      </c>
      <c r="CB16" s="353">
        <v>520.98109228999999</v>
      </c>
      <c r="CC16" s="204" t="s">
        <v>498</v>
      </c>
      <c r="CD16" s="204" t="s">
        <v>300</v>
      </c>
      <c r="CE16" s="204" t="s">
        <v>301</v>
      </c>
      <c r="CF16" s="204" t="s">
        <v>1284</v>
      </c>
      <c r="CG16" s="204" t="s">
        <v>1256</v>
      </c>
      <c r="CH16" s="204" t="s">
        <v>195</v>
      </c>
      <c r="CI16" s="204" t="s">
        <v>438</v>
      </c>
      <c r="CJ16" s="204" t="s">
        <v>302</v>
      </c>
      <c r="CK16" s="353">
        <v>-9999</v>
      </c>
      <c r="CM16" s="353">
        <v>-9999</v>
      </c>
      <c r="CO16" s="353">
        <v>-9999</v>
      </c>
      <c r="CS16" s="353">
        <v>-9999</v>
      </c>
      <c r="CT16" s="353">
        <v>-9999</v>
      </c>
      <c r="CV16" s="204" t="s">
        <v>1265</v>
      </c>
      <c r="CW16" s="353">
        <v>2.1481446581E-5</v>
      </c>
      <c r="CX16" s="204">
        <v>318</v>
      </c>
      <c r="CY16" s="204">
        <v>3172</v>
      </c>
      <c r="CZ16" s="204">
        <v>338</v>
      </c>
      <c r="DA16" s="204">
        <v>5</v>
      </c>
      <c r="DB16" s="353">
        <v>1.1429999999999999E-2</v>
      </c>
      <c r="DC16" s="353">
        <v>6.4799999994600004E-7</v>
      </c>
      <c r="DD16" s="204">
        <v>6</v>
      </c>
      <c r="DE16" s="353">
        <v>4781.7976008699998</v>
      </c>
      <c r="DF16" s="353">
        <v>131837.45546299999</v>
      </c>
      <c r="DG16" s="353">
        <v>2.7775069178299999E-2</v>
      </c>
      <c r="DH16" s="353">
        <v>14178.904722499999</v>
      </c>
    </row>
    <row r="17" spans="1:112">
      <c r="A17" s="204">
        <v>320</v>
      </c>
      <c r="B17" s="204">
        <v>1</v>
      </c>
      <c r="C17" s="204">
        <v>8354</v>
      </c>
      <c r="D17" s="204">
        <v>1</v>
      </c>
      <c r="E17" s="204">
        <v>320</v>
      </c>
      <c r="F17" s="204">
        <v>2</v>
      </c>
      <c r="G17" s="204">
        <v>320</v>
      </c>
      <c r="H17" s="204" t="s">
        <v>661</v>
      </c>
      <c r="I17" s="354">
        <v>37462</v>
      </c>
      <c r="J17" s="204" t="s">
        <v>661</v>
      </c>
      <c r="K17" s="204" t="s">
        <v>1283</v>
      </c>
      <c r="L17" s="204" t="s">
        <v>1247</v>
      </c>
      <c r="M17" s="204" t="s">
        <v>662</v>
      </c>
      <c r="N17" s="353">
        <v>100</v>
      </c>
      <c r="P17" s="204" t="s">
        <v>663</v>
      </c>
      <c r="R17" s="204" t="s">
        <v>1248</v>
      </c>
      <c r="S17" s="353">
        <v>0</v>
      </c>
      <c r="T17" s="204" t="s">
        <v>604</v>
      </c>
      <c r="U17" s="204" t="s">
        <v>307</v>
      </c>
      <c r="W17" s="204" t="s">
        <v>664</v>
      </c>
      <c r="Z17" s="204" t="s">
        <v>296</v>
      </c>
      <c r="AA17" s="204" t="s">
        <v>297</v>
      </c>
      <c r="AB17" s="204" t="s">
        <v>1300</v>
      </c>
      <c r="AC17" s="204" t="s">
        <v>1250</v>
      </c>
      <c r="AD17" s="204" t="s">
        <v>1251</v>
      </c>
      <c r="AE17" s="353">
        <v>69279</v>
      </c>
      <c r="AF17" s="353">
        <v>171538</v>
      </c>
      <c r="AG17" s="353">
        <v>0</v>
      </c>
      <c r="AH17" s="204" t="s">
        <v>298</v>
      </c>
      <c r="AI17" s="353">
        <v>1</v>
      </c>
      <c r="AJ17" s="353">
        <v>1</v>
      </c>
      <c r="AK17" s="353">
        <v>0</v>
      </c>
      <c r="AL17" s="353">
        <v>0</v>
      </c>
      <c r="AM17" s="353">
        <v>0</v>
      </c>
      <c r="AQ17" s="353">
        <v>0</v>
      </c>
      <c r="BC17" s="353">
        <v>0</v>
      </c>
      <c r="BD17" s="353">
        <v>0</v>
      </c>
      <c r="BF17" s="353">
        <v>0</v>
      </c>
      <c r="BG17" s="204" t="s">
        <v>1248</v>
      </c>
      <c r="BH17" s="204" t="s">
        <v>1248</v>
      </c>
      <c r="BJ17" s="204" t="s">
        <v>1301</v>
      </c>
      <c r="BK17" s="353">
        <v>3216</v>
      </c>
      <c r="BL17" s="353">
        <v>2</v>
      </c>
      <c r="BM17" s="353">
        <v>4</v>
      </c>
      <c r="BN17" s="353">
        <v>0</v>
      </c>
      <c r="BO17" s="353">
        <v>4</v>
      </c>
      <c r="BP17" s="353">
        <v>0</v>
      </c>
      <c r="BQ17" s="353">
        <v>804</v>
      </c>
      <c r="BR17" s="204" t="s">
        <v>1261</v>
      </c>
      <c r="BS17" s="204" t="s">
        <v>1248</v>
      </c>
      <c r="BT17" s="353">
        <v>4</v>
      </c>
      <c r="BU17" s="353">
        <v>6875</v>
      </c>
      <c r="BV17" s="204" t="s">
        <v>1248</v>
      </c>
      <c r="BW17" s="204" t="s">
        <v>1253</v>
      </c>
      <c r="BX17" s="204" t="s">
        <v>1248</v>
      </c>
      <c r="BY17" s="204" t="s">
        <v>1248</v>
      </c>
      <c r="CA17" s="353">
        <v>3216</v>
      </c>
      <c r="CB17" s="353">
        <v>372.20123923</v>
      </c>
      <c r="CC17" s="204" t="s">
        <v>517</v>
      </c>
      <c r="CD17" s="204" t="s">
        <v>300</v>
      </c>
      <c r="CE17" s="204" t="s">
        <v>301</v>
      </c>
      <c r="CF17" s="204" t="s">
        <v>1284</v>
      </c>
      <c r="CG17" s="204" t="s">
        <v>1256</v>
      </c>
      <c r="CH17" s="204" t="s">
        <v>195</v>
      </c>
      <c r="CJ17" s="204" t="s">
        <v>302</v>
      </c>
      <c r="CK17" s="353">
        <v>-9999</v>
      </c>
      <c r="CM17" s="353">
        <v>-9999</v>
      </c>
      <c r="CO17" s="353">
        <v>-9999</v>
      </c>
      <c r="CS17" s="353">
        <v>-9999</v>
      </c>
      <c r="CT17" s="353">
        <v>-9999</v>
      </c>
      <c r="CV17" s="204" t="s">
        <v>1265</v>
      </c>
      <c r="CW17" s="353">
        <v>2.1481446581E-5</v>
      </c>
      <c r="CX17" s="204">
        <v>320</v>
      </c>
      <c r="CY17" s="204">
        <v>3079</v>
      </c>
      <c r="CZ17" s="204">
        <v>3652</v>
      </c>
      <c r="DA17" s="204">
        <v>5</v>
      </c>
      <c r="DB17" s="353">
        <v>3.8069999998899998E-2</v>
      </c>
      <c r="DC17" s="353">
        <v>7.3932749999799998E-6</v>
      </c>
      <c r="DD17" s="204">
        <v>6</v>
      </c>
      <c r="DE17" s="353">
        <v>4781.7976008699998</v>
      </c>
      <c r="DF17" s="353">
        <v>131837.45546299999</v>
      </c>
      <c r="DG17" s="353">
        <v>2.7775069178299999E-2</v>
      </c>
      <c r="DH17" s="353">
        <v>6693.7453724999996</v>
      </c>
    </row>
    <row r="18" spans="1:112">
      <c r="A18" s="204">
        <v>321</v>
      </c>
      <c r="B18" s="204">
        <v>1</v>
      </c>
      <c r="C18" s="204">
        <v>8355</v>
      </c>
      <c r="D18" s="204">
        <v>1</v>
      </c>
      <c r="E18" s="204">
        <v>321</v>
      </c>
      <c r="F18" s="204">
        <v>2</v>
      </c>
      <c r="G18" s="204">
        <v>321</v>
      </c>
      <c r="H18" s="204" t="s">
        <v>606</v>
      </c>
      <c r="I18" s="354">
        <v>37462</v>
      </c>
      <c r="J18" s="204" t="s">
        <v>606</v>
      </c>
      <c r="K18" s="204" t="s">
        <v>1283</v>
      </c>
      <c r="L18" s="204" t="s">
        <v>1266</v>
      </c>
      <c r="M18" s="204" t="s">
        <v>602</v>
      </c>
      <c r="N18" s="353">
        <v>100</v>
      </c>
      <c r="P18" s="204" t="s">
        <v>607</v>
      </c>
      <c r="R18" s="204" t="s">
        <v>1248</v>
      </c>
      <c r="S18" s="353">
        <v>0</v>
      </c>
      <c r="T18" s="204" t="s">
        <v>604</v>
      </c>
      <c r="U18" s="204" t="s">
        <v>307</v>
      </c>
      <c r="W18" s="204" t="s">
        <v>608</v>
      </c>
      <c r="Z18" s="204" t="s">
        <v>296</v>
      </c>
      <c r="AA18" s="204" t="s">
        <v>297</v>
      </c>
      <c r="AB18" s="204" t="s">
        <v>1302</v>
      </c>
      <c r="AC18" s="204" t="s">
        <v>1259</v>
      </c>
      <c r="AD18" s="204" t="s">
        <v>1251</v>
      </c>
      <c r="AE18" s="353">
        <v>135197</v>
      </c>
      <c r="AF18" s="353">
        <v>381966</v>
      </c>
      <c r="AG18" s="353">
        <v>0</v>
      </c>
      <c r="AH18" s="204" t="s">
        <v>298</v>
      </c>
      <c r="AI18" s="353">
        <v>0</v>
      </c>
      <c r="AJ18" s="353">
        <v>3</v>
      </c>
      <c r="AK18" s="353">
        <v>0</v>
      </c>
      <c r="AL18" s="353">
        <v>0</v>
      </c>
      <c r="AM18" s="353">
        <v>0</v>
      </c>
      <c r="AQ18" s="353">
        <v>0</v>
      </c>
      <c r="BC18" s="353">
        <v>0</v>
      </c>
      <c r="BD18" s="353">
        <v>0</v>
      </c>
      <c r="BF18" s="353">
        <v>0</v>
      </c>
      <c r="BG18" s="204" t="s">
        <v>1248</v>
      </c>
      <c r="BH18" s="204" t="s">
        <v>1248</v>
      </c>
      <c r="BJ18" s="204" t="s">
        <v>1270</v>
      </c>
      <c r="BK18" s="353">
        <v>5974</v>
      </c>
      <c r="BL18" s="353">
        <v>2</v>
      </c>
      <c r="BM18" s="353">
        <v>8</v>
      </c>
      <c r="BN18" s="353">
        <v>3</v>
      </c>
      <c r="BO18" s="353">
        <v>5</v>
      </c>
      <c r="BP18" s="353">
        <v>0</v>
      </c>
      <c r="BQ18" s="353">
        <v>747</v>
      </c>
      <c r="BT18" s="353">
        <v>0</v>
      </c>
      <c r="BU18" s="353">
        <v>10152</v>
      </c>
      <c r="BV18" s="204" t="s">
        <v>1248</v>
      </c>
      <c r="BW18" s="204" t="s">
        <v>1253</v>
      </c>
      <c r="BX18" s="204" t="s">
        <v>1248</v>
      </c>
      <c r="BY18" s="204" t="s">
        <v>1248</v>
      </c>
      <c r="CA18" s="353">
        <v>5974</v>
      </c>
      <c r="CB18" s="353">
        <v>423.13886282099998</v>
      </c>
      <c r="CC18" s="204" t="s">
        <v>299</v>
      </c>
      <c r="CD18" s="204" t="s">
        <v>300</v>
      </c>
      <c r="CE18" s="204" t="s">
        <v>301</v>
      </c>
      <c r="CF18" s="204" t="s">
        <v>1284</v>
      </c>
      <c r="CG18" s="204" t="s">
        <v>1256</v>
      </c>
      <c r="CH18" s="204" t="s">
        <v>195</v>
      </c>
      <c r="CJ18" s="204" t="s">
        <v>302</v>
      </c>
      <c r="CK18" s="353">
        <v>-9999</v>
      </c>
      <c r="CM18" s="353">
        <v>-9999</v>
      </c>
      <c r="CO18" s="353">
        <v>-9999</v>
      </c>
      <c r="CS18" s="353">
        <v>-9999</v>
      </c>
      <c r="CT18" s="353">
        <v>-9999</v>
      </c>
      <c r="CV18" s="204" t="s">
        <v>1265</v>
      </c>
      <c r="CW18" s="353">
        <v>2.1481446581E-5</v>
      </c>
      <c r="CX18" s="204">
        <v>321</v>
      </c>
      <c r="CY18" s="204">
        <v>3079</v>
      </c>
      <c r="CZ18" s="204">
        <v>3652</v>
      </c>
      <c r="DA18" s="204">
        <v>5</v>
      </c>
      <c r="DB18" s="353">
        <v>3.8069999998899998E-2</v>
      </c>
      <c r="DC18" s="353">
        <v>7.3932749999799998E-6</v>
      </c>
      <c r="DD18" s="204">
        <v>6</v>
      </c>
      <c r="DE18" s="353">
        <v>4781.7976008699998</v>
      </c>
      <c r="DF18" s="353">
        <v>131837.45546299999</v>
      </c>
      <c r="DG18" s="353">
        <v>2.7775069178299999E-2</v>
      </c>
      <c r="DH18" s="353">
        <v>10105.7612532</v>
      </c>
    </row>
    <row r="19" spans="1:112">
      <c r="A19" s="204">
        <v>322</v>
      </c>
      <c r="B19" s="204">
        <v>1</v>
      </c>
      <c r="C19" s="204">
        <v>8356</v>
      </c>
      <c r="D19" s="204">
        <v>1</v>
      </c>
      <c r="E19" s="204">
        <v>322</v>
      </c>
      <c r="F19" s="204">
        <v>2</v>
      </c>
      <c r="G19" s="204">
        <v>322</v>
      </c>
      <c r="H19" s="204" t="s">
        <v>601</v>
      </c>
      <c r="I19" s="354">
        <v>37462</v>
      </c>
      <c r="J19" s="204" t="s">
        <v>601</v>
      </c>
      <c r="K19" s="204" t="s">
        <v>1283</v>
      </c>
      <c r="L19" s="204" t="s">
        <v>1266</v>
      </c>
      <c r="M19" s="204" t="s">
        <v>602</v>
      </c>
      <c r="N19" s="353">
        <v>100</v>
      </c>
      <c r="P19" s="204" t="s">
        <v>603</v>
      </c>
      <c r="R19" s="204" t="s">
        <v>1248</v>
      </c>
      <c r="S19" s="353">
        <v>0</v>
      </c>
      <c r="T19" s="204" t="s">
        <v>604</v>
      </c>
      <c r="U19" s="204" t="s">
        <v>307</v>
      </c>
      <c r="W19" s="204" t="s">
        <v>605</v>
      </c>
      <c r="Z19" s="204" t="s">
        <v>296</v>
      </c>
      <c r="AA19" s="204" t="s">
        <v>297</v>
      </c>
      <c r="AB19" s="204" t="s">
        <v>1303</v>
      </c>
      <c r="AC19" s="204" t="s">
        <v>1259</v>
      </c>
      <c r="AD19" s="204" t="s">
        <v>1251</v>
      </c>
      <c r="AE19" s="353">
        <v>101395</v>
      </c>
      <c r="AF19" s="353">
        <v>310980</v>
      </c>
      <c r="AG19" s="353">
        <v>0</v>
      </c>
      <c r="AH19" s="204" t="s">
        <v>298</v>
      </c>
      <c r="AI19" s="353">
        <v>0</v>
      </c>
      <c r="AJ19" s="353">
        <v>3</v>
      </c>
      <c r="AK19" s="353">
        <v>0</v>
      </c>
      <c r="AL19" s="353">
        <v>0</v>
      </c>
      <c r="AM19" s="353">
        <v>0</v>
      </c>
      <c r="AQ19" s="353">
        <v>0</v>
      </c>
      <c r="BC19" s="353">
        <v>0</v>
      </c>
      <c r="BD19" s="353">
        <v>0</v>
      </c>
      <c r="BF19" s="353">
        <v>0</v>
      </c>
      <c r="BG19" s="204" t="s">
        <v>1248</v>
      </c>
      <c r="BH19" s="204" t="s">
        <v>1248</v>
      </c>
      <c r="BJ19" s="204" t="s">
        <v>1270</v>
      </c>
      <c r="BK19" s="353">
        <v>4822</v>
      </c>
      <c r="BL19" s="353">
        <v>2</v>
      </c>
      <c r="BM19" s="353">
        <v>6</v>
      </c>
      <c r="BN19" s="353">
        <v>0</v>
      </c>
      <c r="BO19" s="353">
        <v>6</v>
      </c>
      <c r="BP19" s="353">
        <v>0</v>
      </c>
      <c r="BQ19" s="353">
        <v>804</v>
      </c>
      <c r="BR19" s="204" t="s">
        <v>1248</v>
      </c>
      <c r="BS19" s="204" t="s">
        <v>1271</v>
      </c>
      <c r="BT19" s="353">
        <v>6</v>
      </c>
      <c r="BU19" s="353">
        <v>10275</v>
      </c>
      <c r="BV19" s="204" t="s">
        <v>1248</v>
      </c>
      <c r="BW19" s="204" t="s">
        <v>1253</v>
      </c>
      <c r="BX19" s="204" t="s">
        <v>1248</v>
      </c>
      <c r="BY19" s="204" t="s">
        <v>1248</v>
      </c>
      <c r="CA19" s="353">
        <v>4822</v>
      </c>
      <c r="CB19" s="353">
        <v>422.63744637799999</v>
      </c>
      <c r="CC19" s="204" t="s">
        <v>299</v>
      </c>
      <c r="CD19" s="204" t="s">
        <v>300</v>
      </c>
      <c r="CE19" s="204" t="s">
        <v>301</v>
      </c>
      <c r="CF19" s="204" t="s">
        <v>1284</v>
      </c>
      <c r="CG19" s="204" t="s">
        <v>1256</v>
      </c>
      <c r="CH19" s="204" t="s">
        <v>195</v>
      </c>
      <c r="CJ19" s="204" t="s">
        <v>302</v>
      </c>
      <c r="CK19" s="353">
        <v>-9999</v>
      </c>
      <c r="CM19" s="353">
        <v>-9999</v>
      </c>
      <c r="CO19" s="353">
        <v>-9999</v>
      </c>
      <c r="CS19" s="353">
        <v>-9999</v>
      </c>
      <c r="CT19" s="353">
        <v>-9999</v>
      </c>
      <c r="CV19" s="204" t="s">
        <v>1265</v>
      </c>
      <c r="CW19" s="353">
        <v>2.1481446581E-5</v>
      </c>
      <c r="CX19" s="204">
        <v>322</v>
      </c>
      <c r="CY19" s="204">
        <v>3079</v>
      </c>
      <c r="CZ19" s="204">
        <v>3652</v>
      </c>
      <c r="DA19" s="204">
        <v>5</v>
      </c>
      <c r="DB19" s="353">
        <v>3.8069999998899998E-2</v>
      </c>
      <c r="DC19" s="353">
        <v>7.3932749999799998E-6</v>
      </c>
      <c r="DD19" s="204">
        <v>6</v>
      </c>
      <c r="DE19" s="353">
        <v>4781.7976008699998</v>
      </c>
      <c r="DF19" s="353">
        <v>131837.45546299999</v>
      </c>
      <c r="DG19" s="353">
        <v>2.7775069178299999E-2</v>
      </c>
      <c r="DH19" s="353">
        <v>10060.130755300001</v>
      </c>
    </row>
    <row r="20" spans="1:112">
      <c r="A20" s="204">
        <v>323</v>
      </c>
      <c r="B20" s="204">
        <v>1</v>
      </c>
      <c r="C20" s="204">
        <v>8357</v>
      </c>
      <c r="D20" s="204">
        <v>1</v>
      </c>
      <c r="E20" s="204">
        <v>323</v>
      </c>
      <c r="F20" s="204">
        <v>2</v>
      </c>
      <c r="G20" s="204">
        <v>323</v>
      </c>
      <c r="H20" s="204" t="s">
        <v>614</v>
      </c>
      <c r="I20" s="354">
        <v>37462</v>
      </c>
      <c r="J20" s="204" t="s">
        <v>614</v>
      </c>
      <c r="K20" s="204" t="s">
        <v>1283</v>
      </c>
      <c r="L20" s="204" t="s">
        <v>1266</v>
      </c>
      <c r="M20" s="204" t="s">
        <v>602</v>
      </c>
      <c r="N20" s="353">
        <v>100</v>
      </c>
      <c r="P20" s="204" t="s">
        <v>615</v>
      </c>
      <c r="R20" s="204" t="s">
        <v>1248</v>
      </c>
      <c r="S20" s="353">
        <v>0</v>
      </c>
      <c r="T20" s="204" t="s">
        <v>612</v>
      </c>
      <c r="U20" s="204" t="s">
        <v>307</v>
      </c>
      <c r="W20" s="204" t="s">
        <v>616</v>
      </c>
      <c r="X20" s="204" t="s">
        <v>1304</v>
      </c>
      <c r="Z20" s="204" t="s">
        <v>296</v>
      </c>
      <c r="AA20" s="204" t="s">
        <v>297</v>
      </c>
      <c r="AB20" s="204" t="s">
        <v>1305</v>
      </c>
      <c r="AC20" s="204" t="s">
        <v>1259</v>
      </c>
      <c r="AD20" s="204" t="s">
        <v>1251</v>
      </c>
      <c r="AE20" s="353">
        <v>207970</v>
      </c>
      <c r="AF20" s="353">
        <v>831922</v>
      </c>
      <c r="AG20" s="353">
        <v>0</v>
      </c>
      <c r="AH20" s="204" t="s">
        <v>298</v>
      </c>
      <c r="AI20" s="353">
        <v>0</v>
      </c>
      <c r="AJ20" s="353">
        <v>3</v>
      </c>
      <c r="AK20" s="353">
        <v>0</v>
      </c>
      <c r="AL20" s="353">
        <v>0</v>
      </c>
      <c r="AM20" s="353">
        <v>0</v>
      </c>
      <c r="AQ20" s="353">
        <v>0</v>
      </c>
      <c r="BC20" s="353">
        <v>0</v>
      </c>
      <c r="BD20" s="353">
        <v>0</v>
      </c>
      <c r="BF20" s="353">
        <v>0</v>
      </c>
      <c r="BG20" s="204" t="s">
        <v>1248</v>
      </c>
      <c r="BH20" s="204" t="s">
        <v>1248</v>
      </c>
      <c r="BJ20" s="204" t="s">
        <v>1270</v>
      </c>
      <c r="BK20" s="353">
        <v>9540</v>
      </c>
      <c r="BL20" s="353">
        <v>2</v>
      </c>
      <c r="BM20" s="353">
        <v>10</v>
      </c>
      <c r="BN20" s="353">
        <v>0</v>
      </c>
      <c r="BO20" s="353">
        <v>10</v>
      </c>
      <c r="BP20" s="353">
        <v>0</v>
      </c>
      <c r="BQ20" s="353">
        <v>954</v>
      </c>
      <c r="BR20" s="204" t="s">
        <v>1248</v>
      </c>
      <c r="BS20" s="204" t="s">
        <v>1271</v>
      </c>
      <c r="BT20" s="353">
        <v>16</v>
      </c>
      <c r="BU20" s="353">
        <v>15625</v>
      </c>
      <c r="BV20" s="204" t="s">
        <v>1248</v>
      </c>
      <c r="BW20" s="204" t="s">
        <v>1253</v>
      </c>
      <c r="BX20" s="204" t="s">
        <v>1248</v>
      </c>
      <c r="BY20" s="204" t="s">
        <v>1248</v>
      </c>
      <c r="CA20" s="353">
        <v>9540</v>
      </c>
      <c r="CB20" s="353">
        <v>498.513164356</v>
      </c>
      <c r="CC20" s="204" t="s">
        <v>299</v>
      </c>
      <c r="CD20" s="204" t="s">
        <v>300</v>
      </c>
      <c r="CE20" s="204" t="s">
        <v>301</v>
      </c>
      <c r="CF20" s="204" t="s">
        <v>1284</v>
      </c>
      <c r="CG20" s="204" t="s">
        <v>1256</v>
      </c>
      <c r="CH20" s="204" t="s">
        <v>195</v>
      </c>
      <c r="CJ20" s="204" t="s">
        <v>302</v>
      </c>
      <c r="CK20" s="353">
        <v>-9999</v>
      </c>
      <c r="CM20" s="353">
        <v>-9999</v>
      </c>
      <c r="CO20" s="353">
        <v>-9999</v>
      </c>
      <c r="CS20" s="353">
        <v>-9999</v>
      </c>
      <c r="CT20" s="353">
        <v>-9999</v>
      </c>
      <c r="CV20" s="204" t="s">
        <v>1265</v>
      </c>
      <c r="CW20" s="353">
        <v>2.1481446581E-5</v>
      </c>
      <c r="CX20" s="204">
        <v>323</v>
      </c>
      <c r="CY20" s="204">
        <v>3079</v>
      </c>
      <c r="CZ20" s="204">
        <v>3652</v>
      </c>
      <c r="DA20" s="204">
        <v>5</v>
      </c>
      <c r="DB20" s="353">
        <v>3.8069999998899998E-2</v>
      </c>
      <c r="DC20" s="353">
        <v>7.3932749999799998E-6</v>
      </c>
      <c r="DD20" s="204">
        <v>6</v>
      </c>
      <c r="DE20" s="353">
        <v>4781.7976008699998</v>
      </c>
      <c r="DF20" s="353">
        <v>131837.45546299999</v>
      </c>
      <c r="DG20" s="353">
        <v>2.7775069178299999E-2</v>
      </c>
      <c r="DH20" s="353">
        <v>15308.7380997</v>
      </c>
    </row>
    <row r="21" spans="1:112">
      <c r="A21" s="204">
        <v>324</v>
      </c>
      <c r="B21" s="204">
        <v>1</v>
      </c>
      <c r="C21" s="204">
        <v>8360</v>
      </c>
      <c r="D21" s="204">
        <v>1</v>
      </c>
      <c r="E21" s="204">
        <v>324</v>
      </c>
      <c r="F21" s="204">
        <v>3</v>
      </c>
      <c r="G21" s="204">
        <v>324</v>
      </c>
      <c r="H21" s="204" t="s">
        <v>657</v>
      </c>
      <c r="I21" s="354">
        <v>37462</v>
      </c>
      <c r="J21" s="204" t="s">
        <v>657</v>
      </c>
      <c r="K21" s="204" t="s">
        <v>1283</v>
      </c>
      <c r="L21" s="204" t="s">
        <v>1247</v>
      </c>
      <c r="M21" s="204" t="s">
        <v>658</v>
      </c>
      <c r="N21" s="353">
        <v>100</v>
      </c>
      <c r="P21" s="204" t="s">
        <v>659</v>
      </c>
      <c r="R21" s="204" t="s">
        <v>1248</v>
      </c>
      <c r="S21" s="353">
        <v>0</v>
      </c>
      <c r="T21" s="204" t="s">
        <v>612</v>
      </c>
      <c r="U21" s="204" t="s">
        <v>294</v>
      </c>
      <c r="W21" s="204" t="s">
        <v>660</v>
      </c>
      <c r="Z21" s="204" t="s">
        <v>296</v>
      </c>
      <c r="AA21" s="204" t="s">
        <v>297</v>
      </c>
      <c r="AB21" s="204" t="s">
        <v>1306</v>
      </c>
      <c r="AC21" s="204" t="s">
        <v>1292</v>
      </c>
      <c r="AD21" s="204" t="s">
        <v>1251</v>
      </c>
      <c r="AE21" s="353">
        <v>82390</v>
      </c>
      <c r="AF21" s="353">
        <v>225847</v>
      </c>
      <c r="AG21" s="353">
        <v>0</v>
      </c>
      <c r="AH21" s="204" t="s">
        <v>298</v>
      </c>
      <c r="AI21" s="353">
        <v>0</v>
      </c>
      <c r="AJ21" s="353">
        <v>3</v>
      </c>
      <c r="AK21" s="353">
        <v>0</v>
      </c>
      <c r="AL21" s="353">
        <v>0</v>
      </c>
      <c r="AM21" s="353">
        <v>0</v>
      </c>
      <c r="AQ21" s="353">
        <v>0</v>
      </c>
      <c r="BC21" s="353">
        <v>0</v>
      </c>
      <c r="BD21" s="353">
        <v>0</v>
      </c>
      <c r="BF21" s="353">
        <v>0</v>
      </c>
      <c r="BG21" s="204" t="s">
        <v>1248</v>
      </c>
      <c r="BH21" s="204" t="s">
        <v>1248</v>
      </c>
      <c r="BJ21" s="204" t="s">
        <v>1270</v>
      </c>
      <c r="BK21" s="353">
        <v>2786</v>
      </c>
      <c r="BL21" s="353">
        <v>2</v>
      </c>
      <c r="BM21" s="353">
        <v>4</v>
      </c>
      <c r="BN21" s="353">
        <v>2</v>
      </c>
      <c r="BO21" s="353">
        <v>1</v>
      </c>
      <c r="BP21" s="353">
        <v>1</v>
      </c>
      <c r="BQ21" s="353">
        <v>696</v>
      </c>
      <c r="BR21" s="204" t="s">
        <v>1261</v>
      </c>
      <c r="BS21" s="204" t="s">
        <v>1248</v>
      </c>
      <c r="BT21" s="353">
        <v>3</v>
      </c>
      <c r="BU21" s="353">
        <v>4500</v>
      </c>
      <c r="BV21" s="204" t="s">
        <v>1248</v>
      </c>
      <c r="BW21" s="204" t="s">
        <v>1253</v>
      </c>
      <c r="BX21" s="204" t="s">
        <v>1248</v>
      </c>
      <c r="BY21" s="204" t="s">
        <v>1248</v>
      </c>
      <c r="BZ21" s="204" t="s">
        <v>1307</v>
      </c>
      <c r="CA21" s="353">
        <v>2786</v>
      </c>
      <c r="CB21" s="353">
        <v>304.618633891</v>
      </c>
      <c r="CC21" s="204" t="s">
        <v>498</v>
      </c>
      <c r="CD21" s="204" t="s">
        <v>300</v>
      </c>
      <c r="CE21" s="204" t="s">
        <v>301</v>
      </c>
      <c r="CF21" s="204" t="s">
        <v>1284</v>
      </c>
      <c r="CG21" s="204" t="s">
        <v>1256</v>
      </c>
      <c r="CH21" s="204" t="s">
        <v>195</v>
      </c>
      <c r="CJ21" s="204" t="s">
        <v>302</v>
      </c>
      <c r="CK21" s="353">
        <v>-9999</v>
      </c>
      <c r="CM21" s="353">
        <v>-9999</v>
      </c>
      <c r="CO21" s="353">
        <v>-9999</v>
      </c>
      <c r="CS21" s="353">
        <v>-9999</v>
      </c>
      <c r="CT21" s="353">
        <v>-9999</v>
      </c>
      <c r="CV21" s="204" t="s">
        <v>1265</v>
      </c>
      <c r="CW21" s="353">
        <v>2.1481446581E-5</v>
      </c>
      <c r="CX21" s="204">
        <v>324</v>
      </c>
      <c r="CY21" s="204">
        <v>3079</v>
      </c>
      <c r="CZ21" s="204">
        <v>3652</v>
      </c>
      <c r="DA21" s="204">
        <v>5</v>
      </c>
      <c r="DB21" s="353">
        <v>3.8069999998899998E-2</v>
      </c>
      <c r="DC21" s="353">
        <v>7.3932749999799998E-6</v>
      </c>
      <c r="DD21" s="204">
        <v>6</v>
      </c>
      <c r="DE21" s="353">
        <v>4781.7976008699998</v>
      </c>
      <c r="DF21" s="353">
        <v>131837.45546299999</v>
      </c>
      <c r="DG21" s="353">
        <v>2.7775069178299999E-2</v>
      </c>
      <c r="DH21" s="353">
        <v>4925.5067086700001</v>
      </c>
    </row>
    <row r="22" spans="1:112">
      <c r="A22" s="204">
        <v>325</v>
      </c>
      <c r="B22" s="204">
        <v>1</v>
      </c>
      <c r="C22" s="204">
        <v>8361</v>
      </c>
      <c r="D22" s="204">
        <v>1</v>
      </c>
      <c r="E22" s="204">
        <v>325</v>
      </c>
      <c r="F22" s="204">
        <v>3</v>
      </c>
      <c r="G22" s="204">
        <v>325</v>
      </c>
      <c r="H22" s="204" t="s">
        <v>588</v>
      </c>
      <c r="I22" s="354">
        <v>37462</v>
      </c>
      <c r="J22" s="204" t="s">
        <v>588</v>
      </c>
      <c r="K22" s="204" t="s">
        <v>1283</v>
      </c>
      <c r="L22" s="204" t="s">
        <v>1247</v>
      </c>
      <c r="M22" s="204" t="s">
        <v>589</v>
      </c>
      <c r="N22" s="353">
        <v>100</v>
      </c>
      <c r="P22" s="204" t="s">
        <v>590</v>
      </c>
      <c r="R22" s="204" t="s">
        <v>1248</v>
      </c>
      <c r="S22" s="353">
        <v>0</v>
      </c>
      <c r="T22" s="204" t="s">
        <v>591</v>
      </c>
      <c r="U22" s="204" t="s">
        <v>294</v>
      </c>
      <c r="W22" s="204" t="s">
        <v>592</v>
      </c>
      <c r="Z22" s="204" t="s">
        <v>296</v>
      </c>
      <c r="AA22" s="204" t="s">
        <v>297</v>
      </c>
      <c r="AB22" s="204" t="s">
        <v>1308</v>
      </c>
      <c r="AC22" s="204" t="s">
        <v>1259</v>
      </c>
      <c r="AD22" s="204" t="s">
        <v>1251</v>
      </c>
      <c r="AE22" s="353">
        <v>33571</v>
      </c>
      <c r="AF22" s="353">
        <v>122646</v>
      </c>
      <c r="AG22" s="353">
        <v>0</v>
      </c>
      <c r="AH22" s="204" t="s">
        <v>298</v>
      </c>
      <c r="AI22" s="353">
        <v>0</v>
      </c>
      <c r="AJ22" s="353">
        <v>5</v>
      </c>
      <c r="AK22" s="353">
        <v>0</v>
      </c>
      <c r="AL22" s="353">
        <v>0</v>
      </c>
      <c r="AM22" s="353">
        <v>0</v>
      </c>
      <c r="AQ22" s="353">
        <v>0</v>
      </c>
      <c r="BC22" s="353">
        <v>0</v>
      </c>
      <c r="BD22" s="353">
        <v>0</v>
      </c>
      <c r="BF22" s="353">
        <v>0</v>
      </c>
      <c r="BG22" s="204" t="s">
        <v>1248</v>
      </c>
      <c r="BH22" s="204" t="s">
        <v>1248</v>
      </c>
      <c r="BJ22" s="204" t="s">
        <v>1309</v>
      </c>
      <c r="BK22" s="353">
        <v>4192</v>
      </c>
      <c r="BL22" s="353">
        <v>0</v>
      </c>
      <c r="BM22" s="353">
        <v>5</v>
      </c>
      <c r="BN22" s="353">
        <v>0</v>
      </c>
      <c r="BO22" s="353">
        <v>0</v>
      </c>
      <c r="BP22" s="353">
        <v>0</v>
      </c>
      <c r="BQ22" s="353">
        <v>2</v>
      </c>
      <c r="BT22" s="353">
        <v>0</v>
      </c>
      <c r="BU22" s="353">
        <v>20442</v>
      </c>
      <c r="BV22" s="204" t="s">
        <v>1248</v>
      </c>
      <c r="BW22" s="204" t="s">
        <v>1253</v>
      </c>
      <c r="BX22" s="204" t="s">
        <v>1248</v>
      </c>
      <c r="BY22" s="204" t="s">
        <v>1248</v>
      </c>
      <c r="BZ22" s="204" t="s">
        <v>437</v>
      </c>
      <c r="CA22" s="353">
        <v>4192</v>
      </c>
      <c r="CB22" s="353">
        <v>700.92469882299997</v>
      </c>
      <c r="CC22" s="204" t="s">
        <v>299</v>
      </c>
      <c r="CD22" s="204" t="s">
        <v>300</v>
      </c>
      <c r="CE22" s="204" t="s">
        <v>301</v>
      </c>
      <c r="CF22" s="204" t="s">
        <v>1284</v>
      </c>
      <c r="CG22" s="204" t="s">
        <v>1256</v>
      </c>
      <c r="CH22" s="204" t="s">
        <v>195</v>
      </c>
      <c r="CJ22" s="204" t="s">
        <v>302</v>
      </c>
      <c r="CK22" s="353">
        <v>-9999</v>
      </c>
      <c r="CM22" s="353">
        <v>-9999</v>
      </c>
      <c r="CO22" s="353">
        <v>-9999</v>
      </c>
      <c r="CS22" s="353">
        <v>-9999</v>
      </c>
      <c r="CT22" s="353">
        <v>-9999</v>
      </c>
      <c r="CV22" s="204" t="s">
        <v>1265</v>
      </c>
      <c r="CW22" s="353">
        <v>2.1481446581E-5</v>
      </c>
      <c r="CX22" s="204">
        <v>325</v>
      </c>
      <c r="CY22" s="204">
        <v>3079</v>
      </c>
      <c r="CZ22" s="204">
        <v>3652</v>
      </c>
      <c r="DA22" s="204">
        <v>5</v>
      </c>
      <c r="DB22" s="353">
        <v>3.8069999998899998E-2</v>
      </c>
      <c r="DC22" s="353">
        <v>7.3932749999799998E-6</v>
      </c>
      <c r="DD22" s="204">
        <v>6</v>
      </c>
      <c r="DE22" s="353">
        <v>4781.7976008699998</v>
      </c>
      <c r="DF22" s="353">
        <v>131837.45546299999</v>
      </c>
      <c r="DG22" s="353">
        <v>2.7775069178299999E-2</v>
      </c>
      <c r="DH22" s="353">
        <v>12693.9618261</v>
      </c>
    </row>
    <row r="23" spans="1:112">
      <c r="A23" s="204">
        <v>326</v>
      </c>
      <c r="B23" s="204">
        <v>1</v>
      </c>
      <c r="C23" s="204">
        <v>8364</v>
      </c>
      <c r="D23" s="204">
        <v>1</v>
      </c>
      <c r="E23" s="204">
        <v>326</v>
      </c>
      <c r="F23" s="204">
        <v>1</v>
      </c>
      <c r="G23" s="204">
        <v>326</v>
      </c>
      <c r="H23" s="204" t="s">
        <v>632</v>
      </c>
      <c r="I23" s="354">
        <v>37462</v>
      </c>
      <c r="J23" s="204" t="s">
        <v>632</v>
      </c>
      <c r="K23" s="204" t="s">
        <v>1283</v>
      </c>
      <c r="L23" s="204" t="s">
        <v>1247</v>
      </c>
      <c r="M23" s="204" t="s">
        <v>633</v>
      </c>
      <c r="N23" s="353">
        <v>100</v>
      </c>
      <c r="P23" s="204" t="s">
        <v>634</v>
      </c>
      <c r="R23" s="204" t="s">
        <v>1248</v>
      </c>
      <c r="S23" s="353">
        <v>0</v>
      </c>
      <c r="T23" s="204" t="s">
        <v>612</v>
      </c>
      <c r="U23" s="204" t="s">
        <v>307</v>
      </c>
      <c r="W23" s="204" t="s">
        <v>635</v>
      </c>
      <c r="Z23" s="204" t="s">
        <v>296</v>
      </c>
      <c r="AA23" s="204" t="s">
        <v>297</v>
      </c>
      <c r="AB23" s="204" t="s">
        <v>502</v>
      </c>
      <c r="AC23" s="204" t="s">
        <v>1278</v>
      </c>
      <c r="AD23" s="204" t="s">
        <v>384</v>
      </c>
      <c r="AE23" s="353">
        <v>76530</v>
      </c>
      <c r="AF23" s="353">
        <v>154602</v>
      </c>
      <c r="AG23" s="353">
        <v>0</v>
      </c>
      <c r="AH23" s="204" t="s">
        <v>423</v>
      </c>
      <c r="AI23" s="353">
        <v>1</v>
      </c>
      <c r="AJ23" s="353">
        <v>1</v>
      </c>
      <c r="AK23" s="353">
        <v>4</v>
      </c>
      <c r="AL23" s="353">
        <v>2</v>
      </c>
      <c r="AM23" s="353">
        <v>8</v>
      </c>
      <c r="AN23" s="204" t="s">
        <v>1310</v>
      </c>
      <c r="AO23" s="204" t="s">
        <v>1261</v>
      </c>
      <c r="AP23" s="204" t="s">
        <v>1248</v>
      </c>
      <c r="AQ23" s="353">
        <v>2</v>
      </c>
      <c r="AR23" s="204" t="s">
        <v>1248</v>
      </c>
      <c r="AS23" s="204" t="s">
        <v>1248</v>
      </c>
      <c r="AT23" s="204" t="s">
        <v>1248</v>
      </c>
      <c r="AU23" s="204" t="s">
        <v>1248</v>
      </c>
      <c r="AV23" s="204" t="s">
        <v>458</v>
      </c>
      <c r="AW23" s="204" t="s">
        <v>1248</v>
      </c>
      <c r="AX23" s="204" t="s">
        <v>1253</v>
      </c>
      <c r="AZ23" s="204" t="s">
        <v>1248</v>
      </c>
      <c r="BB23" s="204" t="s">
        <v>1311</v>
      </c>
      <c r="BC23" s="353">
        <v>4000</v>
      </c>
      <c r="BD23" s="353">
        <v>1480</v>
      </c>
      <c r="BE23" s="204" t="s">
        <v>723</v>
      </c>
      <c r="BF23" s="353">
        <v>0</v>
      </c>
      <c r="BG23" s="204" t="s">
        <v>1248</v>
      </c>
      <c r="BH23" s="204" t="s">
        <v>1248</v>
      </c>
      <c r="BI23" s="204" t="s">
        <v>723</v>
      </c>
      <c r="BK23" s="353">
        <v>0</v>
      </c>
      <c r="BL23" s="353">
        <v>0</v>
      </c>
      <c r="BM23" s="353">
        <v>0</v>
      </c>
      <c r="BN23" s="353">
        <v>0</v>
      </c>
      <c r="BO23" s="353">
        <v>0</v>
      </c>
      <c r="BP23" s="353">
        <v>0</v>
      </c>
      <c r="BQ23" s="353">
        <v>0</v>
      </c>
      <c r="BT23" s="353">
        <v>0</v>
      </c>
      <c r="BU23" s="353">
        <v>0</v>
      </c>
      <c r="CA23" s="353">
        <v>0</v>
      </c>
      <c r="CB23" s="353">
        <v>282.79126835400001</v>
      </c>
      <c r="CC23" s="204" t="s">
        <v>425</v>
      </c>
      <c r="CD23" s="204" t="s">
        <v>300</v>
      </c>
      <c r="CE23" s="204" t="s">
        <v>301</v>
      </c>
      <c r="CF23" s="204" t="s">
        <v>1284</v>
      </c>
      <c r="CG23" s="204" t="s">
        <v>1256</v>
      </c>
      <c r="CH23" s="204" t="s">
        <v>195</v>
      </c>
      <c r="CJ23" s="204" t="s">
        <v>302</v>
      </c>
      <c r="CK23" s="353">
        <v>-9999</v>
      </c>
      <c r="CM23" s="353">
        <v>-9999</v>
      </c>
      <c r="CO23" s="353">
        <v>-9999</v>
      </c>
      <c r="CS23" s="353">
        <v>-9999</v>
      </c>
      <c r="CT23" s="353">
        <v>-9999</v>
      </c>
      <c r="CV23" s="204" t="s">
        <v>1265</v>
      </c>
      <c r="CW23" s="353">
        <v>2.1481446581E-5</v>
      </c>
      <c r="CX23" s="204">
        <v>326</v>
      </c>
      <c r="CY23" s="204">
        <v>3079</v>
      </c>
      <c r="CZ23" s="204">
        <v>3652</v>
      </c>
      <c r="DA23" s="204">
        <v>5</v>
      </c>
      <c r="DB23" s="353">
        <v>3.8069999998899998E-2</v>
      </c>
      <c r="DC23" s="353">
        <v>7.3932749999799998E-6</v>
      </c>
      <c r="DD23" s="204">
        <v>6</v>
      </c>
      <c r="DE23" s="353">
        <v>4781.7976008699998</v>
      </c>
      <c r="DF23" s="353">
        <v>131837.45546299999</v>
      </c>
      <c r="DG23" s="353">
        <v>2.7775069178299999E-2</v>
      </c>
      <c r="DH23" s="353">
        <v>4094.5013092999998</v>
      </c>
    </row>
    <row r="24" spans="1:112">
      <c r="A24" s="204">
        <v>327</v>
      </c>
      <c r="B24" s="204">
        <v>1</v>
      </c>
      <c r="C24" s="204">
        <v>8365</v>
      </c>
      <c r="D24" s="204">
        <v>1</v>
      </c>
      <c r="E24" s="204">
        <v>327</v>
      </c>
      <c r="F24" s="204">
        <v>1</v>
      </c>
      <c r="G24" s="204">
        <v>327</v>
      </c>
      <c r="H24" s="204" t="s">
        <v>636</v>
      </c>
      <c r="I24" s="354">
        <v>37462</v>
      </c>
      <c r="J24" s="204" t="s">
        <v>636</v>
      </c>
      <c r="K24" s="204" t="s">
        <v>1283</v>
      </c>
      <c r="L24" s="204" t="s">
        <v>1247</v>
      </c>
      <c r="M24" s="204" t="s">
        <v>637</v>
      </c>
      <c r="N24" s="353">
        <v>100</v>
      </c>
      <c r="P24" s="204" t="s">
        <v>638</v>
      </c>
      <c r="R24" s="204" t="s">
        <v>1248</v>
      </c>
      <c r="S24" s="353">
        <v>0</v>
      </c>
      <c r="T24" s="204" t="s">
        <v>612</v>
      </c>
      <c r="U24" s="204" t="s">
        <v>307</v>
      </c>
      <c r="W24" s="204" t="s">
        <v>639</v>
      </c>
      <c r="Z24" s="204" t="s">
        <v>296</v>
      </c>
      <c r="AA24" s="204" t="s">
        <v>297</v>
      </c>
      <c r="AB24" s="204" t="s">
        <v>502</v>
      </c>
      <c r="AC24" s="204" t="s">
        <v>1278</v>
      </c>
      <c r="AD24" s="204" t="s">
        <v>384</v>
      </c>
      <c r="AE24" s="353">
        <v>70062</v>
      </c>
      <c r="AF24" s="353">
        <v>63693</v>
      </c>
      <c r="AG24" s="353">
        <v>0</v>
      </c>
      <c r="AH24" s="204" t="s">
        <v>423</v>
      </c>
      <c r="AI24" s="353">
        <v>1</v>
      </c>
      <c r="AJ24" s="353">
        <v>1</v>
      </c>
      <c r="AK24" s="353">
        <v>4</v>
      </c>
      <c r="AL24" s="353">
        <v>2</v>
      </c>
      <c r="AM24" s="353">
        <v>8</v>
      </c>
      <c r="AN24" s="204" t="s">
        <v>186</v>
      </c>
      <c r="AO24" s="204" t="s">
        <v>1261</v>
      </c>
      <c r="AP24" s="204" t="s">
        <v>1248</v>
      </c>
      <c r="AQ24" s="353">
        <v>2</v>
      </c>
      <c r="AR24" s="204" t="s">
        <v>1248</v>
      </c>
      <c r="AS24" s="204" t="s">
        <v>1248</v>
      </c>
      <c r="AT24" s="204" t="s">
        <v>1248</v>
      </c>
      <c r="AU24" s="204" t="s">
        <v>1248</v>
      </c>
      <c r="AV24" s="204" t="s">
        <v>640</v>
      </c>
      <c r="AW24" s="204" t="s">
        <v>1248</v>
      </c>
      <c r="AX24" s="204" t="s">
        <v>1253</v>
      </c>
      <c r="AZ24" s="204" t="s">
        <v>1248</v>
      </c>
      <c r="BB24" s="204" t="s">
        <v>640</v>
      </c>
      <c r="BC24" s="353">
        <v>4000</v>
      </c>
      <c r="BD24" s="353">
        <v>1360</v>
      </c>
      <c r="BE24" s="204" t="s">
        <v>723</v>
      </c>
      <c r="BF24" s="353">
        <v>0</v>
      </c>
      <c r="BG24" s="204" t="s">
        <v>1248</v>
      </c>
      <c r="BH24" s="204" t="s">
        <v>1248</v>
      </c>
      <c r="BI24" s="204" t="s">
        <v>723</v>
      </c>
      <c r="BK24" s="353">
        <v>0</v>
      </c>
      <c r="BL24" s="353">
        <v>0</v>
      </c>
      <c r="BM24" s="353">
        <v>0</v>
      </c>
      <c r="BN24" s="353">
        <v>0</v>
      </c>
      <c r="BO24" s="353">
        <v>0</v>
      </c>
      <c r="BP24" s="353">
        <v>0</v>
      </c>
      <c r="BQ24" s="353">
        <v>0</v>
      </c>
      <c r="BT24" s="353">
        <v>0</v>
      </c>
      <c r="BU24" s="353">
        <v>0</v>
      </c>
      <c r="CA24" s="353">
        <v>0</v>
      </c>
      <c r="CB24" s="353">
        <v>280.88238762399999</v>
      </c>
      <c r="CC24" s="204" t="s">
        <v>425</v>
      </c>
      <c r="CD24" s="204" t="s">
        <v>300</v>
      </c>
      <c r="CE24" s="204" t="s">
        <v>301</v>
      </c>
      <c r="CF24" s="204" t="s">
        <v>1284</v>
      </c>
      <c r="CG24" s="204" t="s">
        <v>1256</v>
      </c>
      <c r="CH24" s="204" t="s">
        <v>195</v>
      </c>
      <c r="CJ24" s="204" t="s">
        <v>302</v>
      </c>
      <c r="CK24" s="353">
        <v>-9999</v>
      </c>
      <c r="CM24" s="353">
        <v>-9999</v>
      </c>
      <c r="CO24" s="353">
        <v>-9999</v>
      </c>
      <c r="CS24" s="353">
        <v>-9999</v>
      </c>
      <c r="CT24" s="353">
        <v>-9999</v>
      </c>
      <c r="CV24" s="204" t="s">
        <v>1265</v>
      </c>
      <c r="CW24" s="353">
        <v>2.1481446581E-5</v>
      </c>
      <c r="CX24" s="204">
        <v>327</v>
      </c>
      <c r="CY24" s="204">
        <v>3079</v>
      </c>
      <c r="CZ24" s="204">
        <v>3652</v>
      </c>
      <c r="DA24" s="204">
        <v>5</v>
      </c>
      <c r="DB24" s="353">
        <v>3.8069999998899998E-2</v>
      </c>
      <c r="DC24" s="353">
        <v>7.3932749999799998E-6</v>
      </c>
      <c r="DD24" s="204">
        <v>6</v>
      </c>
      <c r="DE24" s="353">
        <v>4781.7976008699998</v>
      </c>
      <c r="DF24" s="353">
        <v>131837.45546299999</v>
      </c>
      <c r="DG24" s="353">
        <v>2.7775069178299999E-2</v>
      </c>
      <c r="DH24" s="353">
        <v>4000.3155494500002</v>
      </c>
    </row>
    <row r="25" spans="1:112">
      <c r="A25" s="204">
        <v>328</v>
      </c>
      <c r="B25" s="204">
        <v>2</v>
      </c>
      <c r="C25" s="204">
        <v>8381</v>
      </c>
      <c r="D25" s="204">
        <v>1</v>
      </c>
      <c r="E25" s="204">
        <v>328</v>
      </c>
      <c r="F25" s="204">
        <v>1</v>
      </c>
      <c r="G25" s="204">
        <v>328</v>
      </c>
      <c r="H25" s="204" t="s">
        <v>1107</v>
      </c>
      <c r="I25" s="354">
        <v>37462</v>
      </c>
      <c r="J25" s="204" t="s">
        <v>1107</v>
      </c>
      <c r="K25" s="204" t="s">
        <v>1283</v>
      </c>
      <c r="L25" s="204" t="s">
        <v>1294</v>
      </c>
      <c r="M25" s="204" t="s">
        <v>1108</v>
      </c>
      <c r="N25" s="353">
        <v>100</v>
      </c>
      <c r="P25" s="204" t="s">
        <v>1109</v>
      </c>
      <c r="R25" s="204" t="s">
        <v>1248</v>
      </c>
      <c r="S25" s="353">
        <v>0</v>
      </c>
      <c r="T25" s="204" t="s">
        <v>1110</v>
      </c>
      <c r="U25" s="204" t="s">
        <v>307</v>
      </c>
      <c r="W25" s="204" t="s">
        <v>1111</v>
      </c>
      <c r="X25" s="204" t="s">
        <v>1312</v>
      </c>
      <c r="Z25" s="204" t="s">
        <v>296</v>
      </c>
      <c r="AA25" s="204" t="s">
        <v>297</v>
      </c>
      <c r="AB25" s="204" t="s">
        <v>1313</v>
      </c>
      <c r="AC25" s="204" t="s">
        <v>1278</v>
      </c>
      <c r="AD25" s="204" t="s">
        <v>384</v>
      </c>
      <c r="AE25" s="353">
        <v>63027</v>
      </c>
      <c r="AF25" s="353">
        <v>47270</v>
      </c>
      <c r="AG25" s="353">
        <v>0</v>
      </c>
      <c r="AH25" s="204" t="s">
        <v>423</v>
      </c>
      <c r="AI25" s="353">
        <v>1</v>
      </c>
      <c r="AJ25" s="353">
        <v>1</v>
      </c>
      <c r="AK25" s="353">
        <v>3</v>
      </c>
      <c r="AL25" s="353">
        <v>2</v>
      </c>
      <c r="AM25" s="353">
        <v>9</v>
      </c>
      <c r="AN25" s="204" t="s">
        <v>186</v>
      </c>
      <c r="AO25" s="204" t="s">
        <v>1261</v>
      </c>
      <c r="AP25" s="204" t="s">
        <v>1248</v>
      </c>
      <c r="AQ25" s="353">
        <v>1</v>
      </c>
      <c r="AR25" s="204" t="s">
        <v>1248</v>
      </c>
      <c r="AS25" s="204" t="s">
        <v>1248</v>
      </c>
      <c r="AT25" s="204" t="s">
        <v>1248</v>
      </c>
      <c r="AU25" s="204" t="s">
        <v>1248</v>
      </c>
      <c r="AV25" s="204" t="s">
        <v>1112</v>
      </c>
      <c r="AW25" s="204" t="s">
        <v>1248</v>
      </c>
      <c r="AX25" s="204" t="s">
        <v>1253</v>
      </c>
      <c r="AY25" s="204" t="s">
        <v>1248</v>
      </c>
      <c r="AZ25" s="204" t="s">
        <v>1248</v>
      </c>
      <c r="BA25" s="204" t="s">
        <v>1248</v>
      </c>
      <c r="BB25" s="204" t="s">
        <v>1112</v>
      </c>
      <c r="BC25" s="353">
        <v>3700</v>
      </c>
      <c r="BD25" s="353">
        <v>1511</v>
      </c>
      <c r="BE25" s="204" t="s">
        <v>723</v>
      </c>
      <c r="BF25" s="353">
        <v>0</v>
      </c>
      <c r="BG25" s="204" t="s">
        <v>1248</v>
      </c>
      <c r="BH25" s="204" t="s">
        <v>1248</v>
      </c>
      <c r="BI25" s="204" t="s">
        <v>723</v>
      </c>
      <c r="BK25" s="353">
        <v>0</v>
      </c>
      <c r="BL25" s="353">
        <v>0</v>
      </c>
      <c r="BM25" s="353">
        <v>0</v>
      </c>
      <c r="BN25" s="353">
        <v>0</v>
      </c>
      <c r="BO25" s="353">
        <v>0</v>
      </c>
      <c r="BP25" s="353">
        <v>0</v>
      </c>
      <c r="BQ25" s="353">
        <v>0</v>
      </c>
      <c r="BT25" s="353">
        <v>0</v>
      </c>
      <c r="BU25" s="353">
        <v>0</v>
      </c>
      <c r="CA25" s="353">
        <v>0</v>
      </c>
      <c r="CB25" s="353">
        <v>272.86776073700003</v>
      </c>
      <c r="CC25" s="204" t="s">
        <v>425</v>
      </c>
      <c r="CD25" s="204" t="s">
        <v>300</v>
      </c>
      <c r="CE25" s="204" t="s">
        <v>301</v>
      </c>
      <c r="CF25" s="204" t="s">
        <v>1297</v>
      </c>
      <c r="CG25" s="204" t="s">
        <v>1256</v>
      </c>
      <c r="CH25" s="204" t="s">
        <v>1298</v>
      </c>
      <c r="CI25" s="204" t="s">
        <v>351</v>
      </c>
      <c r="CJ25" s="204" t="s">
        <v>678</v>
      </c>
      <c r="CK25" s="353">
        <v>-9999</v>
      </c>
      <c r="CM25" s="353">
        <v>-9999</v>
      </c>
      <c r="CO25" s="353">
        <v>-9999</v>
      </c>
      <c r="CS25" s="353">
        <v>-9999</v>
      </c>
      <c r="CT25" s="353">
        <v>-9999</v>
      </c>
      <c r="CV25" s="204" t="s">
        <v>1265</v>
      </c>
      <c r="CW25" s="353">
        <v>4.84062517235E-4</v>
      </c>
      <c r="CX25" s="204">
        <v>328</v>
      </c>
      <c r="CY25" s="204">
        <v>3079</v>
      </c>
      <c r="CZ25" s="204">
        <v>3652</v>
      </c>
      <c r="DA25" s="204">
        <v>5</v>
      </c>
      <c r="DB25" s="353">
        <v>3.8069999998899998E-2</v>
      </c>
      <c r="DC25" s="353">
        <v>7.3932749999799998E-6</v>
      </c>
      <c r="DD25" s="204">
        <v>6</v>
      </c>
      <c r="DE25" s="353">
        <v>4781.7976008699998</v>
      </c>
      <c r="DF25" s="353">
        <v>131837.45546299999</v>
      </c>
      <c r="DG25" s="353">
        <v>0.148914391663</v>
      </c>
      <c r="DH25" s="353">
        <v>3663.4306124499999</v>
      </c>
    </row>
    <row r="26" spans="1:112">
      <c r="A26" s="204">
        <v>329</v>
      </c>
      <c r="B26" s="204">
        <v>1</v>
      </c>
      <c r="C26" s="204">
        <v>8399</v>
      </c>
      <c r="D26" s="204">
        <v>1</v>
      </c>
      <c r="E26" s="204">
        <v>329</v>
      </c>
      <c r="F26" s="204">
        <v>2</v>
      </c>
      <c r="G26" s="204">
        <v>329</v>
      </c>
      <c r="H26" s="204" t="s">
        <v>641</v>
      </c>
      <c r="I26" s="354">
        <v>37462</v>
      </c>
      <c r="J26" s="204" t="s">
        <v>641</v>
      </c>
      <c r="K26" s="204" t="s">
        <v>1283</v>
      </c>
      <c r="L26" s="204" t="s">
        <v>1294</v>
      </c>
      <c r="M26" s="204" t="s">
        <v>642</v>
      </c>
      <c r="N26" s="353">
        <v>100</v>
      </c>
      <c r="P26" s="204" t="s">
        <v>643</v>
      </c>
      <c r="R26" s="204" t="s">
        <v>1248</v>
      </c>
      <c r="S26" s="353">
        <v>0</v>
      </c>
      <c r="T26" s="204" t="s">
        <v>644</v>
      </c>
      <c r="U26" s="204" t="s">
        <v>307</v>
      </c>
      <c r="W26" s="204" t="s">
        <v>645</v>
      </c>
      <c r="Z26" s="204" t="s">
        <v>296</v>
      </c>
      <c r="AA26" s="204" t="s">
        <v>297</v>
      </c>
      <c r="AB26" s="204" t="s">
        <v>1314</v>
      </c>
      <c r="AC26" s="204" t="s">
        <v>1278</v>
      </c>
      <c r="AD26" s="204" t="s">
        <v>384</v>
      </c>
      <c r="AE26" s="353">
        <v>107194</v>
      </c>
      <c r="AF26" s="353">
        <v>87761</v>
      </c>
      <c r="AG26" s="353">
        <v>0</v>
      </c>
      <c r="AH26" s="204" t="s">
        <v>423</v>
      </c>
      <c r="AI26" s="353">
        <v>1</v>
      </c>
      <c r="AJ26" s="353">
        <v>1</v>
      </c>
      <c r="AK26" s="353">
        <v>4</v>
      </c>
      <c r="AL26" s="353">
        <v>2</v>
      </c>
      <c r="AM26" s="353">
        <v>8</v>
      </c>
      <c r="AN26" s="204" t="s">
        <v>186</v>
      </c>
      <c r="AO26" s="204" t="s">
        <v>1261</v>
      </c>
      <c r="AP26" s="204" t="s">
        <v>1248</v>
      </c>
      <c r="AQ26" s="353">
        <v>1</v>
      </c>
      <c r="AR26" s="204" t="s">
        <v>1296</v>
      </c>
      <c r="AS26" s="204" t="s">
        <v>1248</v>
      </c>
      <c r="AT26" s="204" t="s">
        <v>1248</v>
      </c>
      <c r="AU26" s="204" t="s">
        <v>1248</v>
      </c>
      <c r="AV26" s="204" t="s">
        <v>646</v>
      </c>
      <c r="AW26" s="204" t="s">
        <v>1248</v>
      </c>
      <c r="AX26" s="204" t="s">
        <v>1253</v>
      </c>
      <c r="AY26" s="204" t="s">
        <v>1248</v>
      </c>
      <c r="AZ26" s="204" t="s">
        <v>1248</v>
      </c>
      <c r="BA26" s="204" t="s">
        <v>1248</v>
      </c>
      <c r="BB26" s="204" t="s">
        <v>646</v>
      </c>
      <c r="BC26" s="353">
        <v>4800</v>
      </c>
      <c r="BD26" s="353">
        <v>2142</v>
      </c>
      <c r="BE26" s="204" t="s">
        <v>723</v>
      </c>
      <c r="BF26" s="353">
        <v>0</v>
      </c>
      <c r="BG26" s="204" t="s">
        <v>1248</v>
      </c>
      <c r="BH26" s="204" t="s">
        <v>1248</v>
      </c>
      <c r="BI26" s="204" t="s">
        <v>723</v>
      </c>
      <c r="BK26" s="353">
        <v>0</v>
      </c>
      <c r="BL26" s="353">
        <v>0</v>
      </c>
      <c r="BM26" s="353">
        <v>0</v>
      </c>
      <c r="BN26" s="353">
        <v>0</v>
      </c>
      <c r="BO26" s="353">
        <v>0</v>
      </c>
      <c r="BP26" s="353">
        <v>0</v>
      </c>
      <c r="BQ26" s="353">
        <v>0</v>
      </c>
      <c r="BT26" s="353">
        <v>0</v>
      </c>
      <c r="BU26" s="353">
        <v>0</v>
      </c>
      <c r="CA26" s="353">
        <v>0</v>
      </c>
      <c r="CB26" s="353">
        <v>319.91788317499999</v>
      </c>
      <c r="CC26" s="204" t="s">
        <v>425</v>
      </c>
      <c r="CD26" s="204" t="s">
        <v>300</v>
      </c>
      <c r="CE26" s="204" t="s">
        <v>301</v>
      </c>
      <c r="CF26" s="204" t="s">
        <v>1284</v>
      </c>
      <c r="CG26" s="204" t="s">
        <v>1256</v>
      </c>
      <c r="CH26" s="204" t="s">
        <v>195</v>
      </c>
      <c r="CJ26" s="204" t="s">
        <v>302</v>
      </c>
      <c r="CK26" s="353">
        <v>-9999</v>
      </c>
      <c r="CM26" s="353">
        <v>-9999</v>
      </c>
      <c r="CO26" s="353">
        <v>-9999</v>
      </c>
      <c r="CS26" s="353">
        <v>-9999</v>
      </c>
      <c r="CT26" s="353">
        <v>-9999</v>
      </c>
      <c r="CV26" s="204" t="s">
        <v>1265</v>
      </c>
      <c r="CW26" s="353">
        <v>2.1481446581E-5</v>
      </c>
      <c r="CX26" s="204">
        <v>329</v>
      </c>
      <c r="CY26" s="204">
        <v>3079</v>
      </c>
      <c r="CZ26" s="204">
        <v>3652</v>
      </c>
      <c r="DA26" s="204">
        <v>5</v>
      </c>
      <c r="DB26" s="353">
        <v>3.8069999998899998E-2</v>
      </c>
      <c r="DC26" s="353">
        <v>7.3932749999799998E-6</v>
      </c>
      <c r="DD26" s="204">
        <v>6</v>
      </c>
      <c r="DE26" s="353">
        <v>4781.7976008699998</v>
      </c>
      <c r="DF26" s="353">
        <v>131837.45546299999</v>
      </c>
      <c r="DG26" s="353">
        <v>2.7775069178299999E-2</v>
      </c>
      <c r="DH26" s="353">
        <v>4842.44199837</v>
      </c>
    </row>
    <row r="27" spans="1:112">
      <c r="A27" s="204">
        <v>330</v>
      </c>
      <c r="B27" s="204">
        <v>1</v>
      </c>
      <c r="C27" s="204">
        <v>8418</v>
      </c>
      <c r="D27" s="204">
        <v>1</v>
      </c>
      <c r="E27" s="204">
        <v>330</v>
      </c>
      <c r="F27" s="204">
        <v>1</v>
      </c>
      <c r="G27" s="204">
        <v>330</v>
      </c>
      <c r="H27" s="204" t="s">
        <v>617</v>
      </c>
      <c r="I27" s="354">
        <v>37462</v>
      </c>
      <c r="J27" s="204" t="s">
        <v>617</v>
      </c>
      <c r="K27" s="204" t="s">
        <v>1283</v>
      </c>
      <c r="L27" s="204" t="s">
        <v>302</v>
      </c>
      <c r="M27" s="204" t="s">
        <v>618</v>
      </c>
      <c r="N27" s="353">
        <v>50</v>
      </c>
      <c r="O27" s="204" t="s">
        <v>1315</v>
      </c>
      <c r="P27" s="204" t="s">
        <v>619</v>
      </c>
      <c r="R27" s="204" t="s">
        <v>1248</v>
      </c>
      <c r="S27" s="353">
        <v>0</v>
      </c>
      <c r="T27" s="204" t="s">
        <v>620</v>
      </c>
      <c r="U27" s="204" t="s">
        <v>294</v>
      </c>
      <c r="W27" s="204" t="s">
        <v>621</v>
      </c>
      <c r="Z27" s="204" t="s">
        <v>296</v>
      </c>
      <c r="AA27" s="204" t="s">
        <v>297</v>
      </c>
      <c r="AB27" s="204" t="s">
        <v>1316</v>
      </c>
      <c r="AC27" s="204" t="s">
        <v>1286</v>
      </c>
      <c r="AD27" s="204" t="s">
        <v>1251</v>
      </c>
      <c r="AE27" s="353">
        <v>366657</v>
      </c>
      <c r="AF27" s="353">
        <v>914131</v>
      </c>
      <c r="AG27" s="353">
        <v>0</v>
      </c>
      <c r="AH27" s="204" t="s">
        <v>298</v>
      </c>
      <c r="AI27" s="353">
        <v>1</v>
      </c>
      <c r="AJ27" s="353">
        <v>1</v>
      </c>
      <c r="AK27" s="353">
        <v>0</v>
      </c>
      <c r="AL27" s="353">
        <v>0</v>
      </c>
      <c r="AM27" s="353">
        <v>0</v>
      </c>
      <c r="AQ27" s="353">
        <v>0</v>
      </c>
      <c r="BC27" s="353">
        <v>0</v>
      </c>
      <c r="BD27" s="353">
        <v>0</v>
      </c>
      <c r="BF27" s="353">
        <v>0</v>
      </c>
      <c r="BG27" s="204" t="s">
        <v>1248</v>
      </c>
      <c r="BH27" s="204" t="s">
        <v>1248</v>
      </c>
      <c r="BJ27" s="204" t="s">
        <v>1270</v>
      </c>
      <c r="BK27" s="353">
        <v>12340</v>
      </c>
      <c r="BL27" s="353">
        <v>2</v>
      </c>
      <c r="BM27" s="353">
        <v>20</v>
      </c>
      <c r="BN27" s="353">
        <v>8</v>
      </c>
      <c r="BO27" s="353">
        <v>2</v>
      </c>
      <c r="BP27" s="353">
        <v>0</v>
      </c>
      <c r="BQ27" s="353">
        <v>617</v>
      </c>
      <c r="BR27" s="204" t="s">
        <v>1248</v>
      </c>
      <c r="BS27" s="204" t="s">
        <v>1248</v>
      </c>
      <c r="BT27" s="353">
        <v>0</v>
      </c>
      <c r="BU27" s="353">
        <v>18000</v>
      </c>
      <c r="BV27" s="204" t="s">
        <v>1248</v>
      </c>
      <c r="BW27" s="204" t="s">
        <v>1253</v>
      </c>
      <c r="BX27" s="204" t="s">
        <v>1248</v>
      </c>
      <c r="BY27" s="204" t="s">
        <v>1248</v>
      </c>
      <c r="BZ27" s="204" t="s">
        <v>1317</v>
      </c>
      <c r="CA27" s="353">
        <v>12340</v>
      </c>
      <c r="CB27" s="353">
        <v>538.18520443</v>
      </c>
      <c r="CC27" s="204" t="s">
        <v>393</v>
      </c>
      <c r="CD27" s="204" t="s">
        <v>300</v>
      </c>
      <c r="CE27" s="204" t="s">
        <v>301</v>
      </c>
      <c r="CF27" s="204" t="s">
        <v>1284</v>
      </c>
      <c r="CG27" s="204" t="s">
        <v>1256</v>
      </c>
      <c r="CH27" s="204" t="s">
        <v>195</v>
      </c>
      <c r="CJ27" s="204" t="s">
        <v>302</v>
      </c>
      <c r="CK27" s="353">
        <v>-9999</v>
      </c>
      <c r="CM27" s="353">
        <v>-9999</v>
      </c>
      <c r="CO27" s="353">
        <v>-9999</v>
      </c>
      <c r="CS27" s="353">
        <v>-9999</v>
      </c>
      <c r="CT27" s="353">
        <v>-9999</v>
      </c>
      <c r="CV27" s="204" t="s">
        <v>1265</v>
      </c>
      <c r="CW27" s="353">
        <v>2.1481446581E-5</v>
      </c>
      <c r="CX27" s="204">
        <v>330</v>
      </c>
      <c r="CY27" s="204">
        <v>3079</v>
      </c>
      <c r="CZ27" s="204">
        <v>3652</v>
      </c>
      <c r="DA27" s="204">
        <v>5</v>
      </c>
      <c r="DB27" s="353">
        <v>3.8069999998899998E-2</v>
      </c>
      <c r="DC27" s="353">
        <v>7.3932749999799998E-6</v>
      </c>
      <c r="DD27" s="204">
        <v>6</v>
      </c>
      <c r="DE27" s="353">
        <v>4781.7976008699998</v>
      </c>
      <c r="DF27" s="353">
        <v>131837.45546299999</v>
      </c>
      <c r="DG27" s="353">
        <v>2.7775069178299999E-2</v>
      </c>
      <c r="DH27" s="353">
        <v>17996.795412200001</v>
      </c>
    </row>
    <row r="28" spans="1:112">
      <c r="A28" s="204">
        <v>331</v>
      </c>
      <c r="B28" s="204">
        <v>1</v>
      </c>
      <c r="C28" s="204">
        <v>8420</v>
      </c>
      <c r="D28" s="204">
        <v>1</v>
      </c>
      <c r="E28" s="204">
        <v>331</v>
      </c>
      <c r="F28" s="204">
        <v>1</v>
      </c>
      <c r="G28" s="204">
        <v>331</v>
      </c>
      <c r="H28" s="204" t="s">
        <v>647</v>
      </c>
      <c r="I28" s="354">
        <v>38288</v>
      </c>
      <c r="J28" s="204" t="s">
        <v>647</v>
      </c>
      <c r="K28" s="204" t="s">
        <v>1283</v>
      </c>
      <c r="L28" s="204" t="s">
        <v>1288</v>
      </c>
      <c r="M28" s="204" t="s">
        <v>648</v>
      </c>
      <c r="N28" s="353">
        <v>100</v>
      </c>
      <c r="O28" s="204" t="s">
        <v>1318</v>
      </c>
      <c r="P28" s="204" t="s">
        <v>649</v>
      </c>
      <c r="R28" s="204" t="s">
        <v>1248</v>
      </c>
      <c r="S28" s="353">
        <v>0</v>
      </c>
      <c r="T28" s="204" t="s">
        <v>293</v>
      </c>
      <c r="U28" s="204" t="s">
        <v>294</v>
      </c>
      <c r="W28" s="204" t="s">
        <v>384</v>
      </c>
      <c r="Z28" s="204" t="s">
        <v>296</v>
      </c>
      <c r="AA28" s="204" t="s">
        <v>297</v>
      </c>
      <c r="AB28" s="204" t="s">
        <v>546</v>
      </c>
      <c r="AC28" s="204" t="s">
        <v>1278</v>
      </c>
      <c r="AD28" s="204" t="s">
        <v>1319</v>
      </c>
      <c r="AE28" s="353">
        <v>58603</v>
      </c>
      <c r="AF28" s="353">
        <v>149958</v>
      </c>
      <c r="AG28" s="353">
        <v>0</v>
      </c>
      <c r="AH28" s="204" t="s">
        <v>298</v>
      </c>
      <c r="AI28" s="353">
        <v>1</v>
      </c>
      <c r="AJ28" s="353">
        <v>1</v>
      </c>
      <c r="AK28" s="353">
        <v>0</v>
      </c>
      <c r="AL28" s="353">
        <v>0</v>
      </c>
      <c r="AM28" s="353">
        <v>0</v>
      </c>
      <c r="AQ28" s="353">
        <v>0</v>
      </c>
      <c r="BC28" s="353">
        <v>0</v>
      </c>
      <c r="BD28" s="353">
        <v>0</v>
      </c>
      <c r="BF28" s="353">
        <v>0</v>
      </c>
      <c r="BG28" s="204" t="s">
        <v>1248</v>
      </c>
      <c r="BH28" s="204" t="s">
        <v>1248</v>
      </c>
      <c r="BJ28" s="204" t="s">
        <v>1309</v>
      </c>
      <c r="BK28" s="353">
        <v>1248</v>
      </c>
      <c r="BL28" s="353">
        <v>0</v>
      </c>
      <c r="BM28" s="353">
        <v>0</v>
      </c>
      <c r="BN28" s="353">
        <v>1</v>
      </c>
      <c r="BO28" s="353">
        <v>0</v>
      </c>
      <c r="BP28" s="353">
        <v>2</v>
      </c>
      <c r="BQ28" s="353">
        <v>0</v>
      </c>
      <c r="BT28" s="353">
        <v>0</v>
      </c>
      <c r="BU28" s="353">
        <v>8765</v>
      </c>
      <c r="BX28" s="204" t="s">
        <v>1248</v>
      </c>
      <c r="BY28" s="204" t="s">
        <v>1248</v>
      </c>
      <c r="BZ28" s="204" t="s">
        <v>458</v>
      </c>
      <c r="CA28" s="353">
        <v>1248</v>
      </c>
      <c r="CB28" s="353">
        <v>373.06695899599998</v>
      </c>
      <c r="CC28" s="204" t="s">
        <v>425</v>
      </c>
      <c r="CD28" s="204" t="s">
        <v>300</v>
      </c>
      <c r="CE28" s="204" t="s">
        <v>301</v>
      </c>
      <c r="CF28" s="204" t="s">
        <v>1284</v>
      </c>
      <c r="CG28" s="204" t="s">
        <v>1256</v>
      </c>
      <c r="CH28" s="204" t="s">
        <v>195</v>
      </c>
      <c r="CJ28" s="204" t="s">
        <v>302</v>
      </c>
      <c r="CK28" s="353">
        <v>-9999</v>
      </c>
      <c r="CM28" s="353">
        <v>-9999</v>
      </c>
      <c r="CO28" s="353">
        <v>-9999</v>
      </c>
      <c r="CS28" s="353">
        <v>-9999</v>
      </c>
      <c r="CT28" s="353">
        <v>-9999</v>
      </c>
      <c r="CV28" s="204" t="s">
        <v>1265</v>
      </c>
      <c r="CW28" s="353">
        <v>2.1481446581E-5</v>
      </c>
      <c r="CX28" s="204">
        <v>331</v>
      </c>
      <c r="CY28" s="204">
        <v>3079</v>
      </c>
      <c r="CZ28" s="204">
        <v>3652</v>
      </c>
      <c r="DA28" s="204">
        <v>5</v>
      </c>
      <c r="DB28" s="353">
        <v>3.8069999998899998E-2</v>
      </c>
      <c r="DC28" s="353">
        <v>7.3932749999799998E-6</v>
      </c>
      <c r="DD28" s="204">
        <v>6</v>
      </c>
      <c r="DE28" s="353">
        <v>4781.7976008699998</v>
      </c>
      <c r="DF28" s="353">
        <v>131837.45546299999</v>
      </c>
      <c r="DG28" s="353">
        <v>2.7775069178299999E-2</v>
      </c>
      <c r="DH28" s="353">
        <v>6828.9252693799999</v>
      </c>
    </row>
    <row r="29" spans="1:112">
      <c r="A29" s="204">
        <v>332</v>
      </c>
      <c r="B29" s="204">
        <v>1</v>
      </c>
      <c r="C29" s="204">
        <v>8423</v>
      </c>
      <c r="D29" s="204">
        <v>1</v>
      </c>
      <c r="E29" s="204">
        <v>332</v>
      </c>
      <c r="F29" s="204">
        <v>1</v>
      </c>
      <c r="G29" s="204">
        <v>332</v>
      </c>
      <c r="H29" s="204" t="s">
        <v>653</v>
      </c>
      <c r="I29" s="354">
        <v>37462</v>
      </c>
      <c r="J29" s="204" t="s">
        <v>653</v>
      </c>
      <c r="K29" s="204" t="s">
        <v>1283</v>
      </c>
      <c r="L29" s="204" t="s">
        <v>1294</v>
      </c>
      <c r="M29" s="204" t="s">
        <v>654</v>
      </c>
      <c r="N29" s="353">
        <v>100</v>
      </c>
      <c r="P29" s="204" t="s">
        <v>655</v>
      </c>
      <c r="R29" s="204" t="s">
        <v>1248</v>
      </c>
      <c r="S29" s="353">
        <v>0</v>
      </c>
      <c r="T29" s="204" t="s">
        <v>620</v>
      </c>
      <c r="U29" s="204" t="s">
        <v>294</v>
      </c>
      <c r="W29" s="204" t="s">
        <v>656</v>
      </c>
      <c r="Z29" s="204" t="s">
        <v>296</v>
      </c>
      <c r="AA29" s="204" t="s">
        <v>297</v>
      </c>
      <c r="AB29" s="204" t="s">
        <v>1320</v>
      </c>
      <c r="AC29" s="204" t="s">
        <v>741</v>
      </c>
      <c r="AD29" s="204" t="s">
        <v>1251</v>
      </c>
      <c r="AE29" s="353">
        <v>41804</v>
      </c>
      <c r="AF29" s="353">
        <v>178193</v>
      </c>
      <c r="AG29" s="353">
        <v>0</v>
      </c>
      <c r="AH29" s="204" t="s">
        <v>298</v>
      </c>
      <c r="AI29" s="353">
        <v>1</v>
      </c>
      <c r="AJ29" s="353">
        <v>1</v>
      </c>
      <c r="AK29" s="353">
        <v>0</v>
      </c>
      <c r="AL29" s="353">
        <v>0</v>
      </c>
      <c r="AM29" s="353">
        <v>0</v>
      </c>
      <c r="AQ29" s="353">
        <v>0</v>
      </c>
      <c r="BC29" s="353">
        <v>0</v>
      </c>
      <c r="BD29" s="353">
        <v>0</v>
      </c>
      <c r="BF29" s="353">
        <v>0</v>
      </c>
      <c r="BG29" s="204" t="s">
        <v>1248</v>
      </c>
      <c r="BH29" s="204" t="s">
        <v>1248</v>
      </c>
      <c r="BJ29" s="204" t="s">
        <v>1321</v>
      </c>
      <c r="BK29" s="353">
        <v>2940</v>
      </c>
      <c r="BL29" s="353">
        <v>2</v>
      </c>
      <c r="BM29" s="353">
        <v>3</v>
      </c>
      <c r="BN29" s="353">
        <v>0</v>
      </c>
      <c r="BO29" s="353">
        <v>3</v>
      </c>
      <c r="BP29" s="353">
        <v>0</v>
      </c>
      <c r="BQ29" s="353">
        <v>980</v>
      </c>
      <c r="BR29" s="204" t="s">
        <v>1261</v>
      </c>
      <c r="BS29" s="204" t="s">
        <v>1248</v>
      </c>
      <c r="BT29" s="353">
        <v>3</v>
      </c>
      <c r="BU29" s="353">
        <v>6000</v>
      </c>
      <c r="BV29" s="204" t="s">
        <v>1248</v>
      </c>
      <c r="BW29" s="204" t="s">
        <v>1253</v>
      </c>
      <c r="BX29" s="204" t="s">
        <v>1248</v>
      </c>
      <c r="BY29" s="204" t="s">
        <v>1248</v>
      </c>
      <c r="BZ29" s="204" t="s">
        <v>1254</v>
      </c>
      <c r="CA29" s="353">
        <v>2940</v>
      </c>
      <c r="CB29" s="353">
        <v>340.321956973</v>
      </c>
      <c r="CC29" s="204" t="s">
        <v>503</v>
      </c>
      <c r="CD29" s="204" t="s">
        <v>300</v>
      </c>
      <c r="CE29" s="204" t="s">
        <v>301</v>
      </c>
      <c r="CF29" s="204" t="s">
        <v>1284</v>
      </c>
      <c r="CG29" s="204" t="s">
        <v>1256</v>
      </c>
      <c r="CH29" s="204" t="s">
        <v>195</v>
      </c>
      <c r="CJ29" s="204" t="s">
        <v>302</v>
      </c>
      <c r="CK29" s="353">
        <v>-9999</v>
      </c>
      <c r="CM29" s="353">
        <v>-9999</v>
      </c>
      <c r="CO29" s="353">
        <v>-9999</v>
      </c>
      <c r="CS29" s="353">
        <v>-9999</v>
      </c>
      <c r="CT29" s="353">
        <v>-9999</v>
      </c>
      <c r="CV29" s="204" t="s">
        <v>1265</v>
      </c>
      <c r="CW29" s="353">
        <v>2.1481446581E-5</v>
      </c>
      <c r="CX29" s="204">
        <v>332</v>
      </c>
      <c r="CY29" s="204">
        <v>3079</v>
      </c>
      <c r="CZ29" s="204">
        <v>3652</v>
      </c>
      <c r="DA29" s="204">
        <v>5</v>
      </c>
      <c r="DB29" s="353">
        <v>3.8069999998899998E-2</v>
      </c>
      <c r="DC29" s="353">
        <v>7.3932749999799998E-6</v>
      </c>
      <c r="DD29" s="204">
        <v>6</v>
      </c>
      <c r="DE29" s="353">
        <v>4781.7976008699998</v>
      </c>
      <c r="DF29" s="353">
        <v>131837.45546299999</v>
      </c>
      <c r="DG29" s="353">
        <v>2.7775069178299999E-2</v>
      </c>
      <c r="DH29" s="353">
        <v>5951.1177135899998</v>
      </c>
    </row>
    <row r="30" spans="1:112">
      <c r="A30" s="204">
        <v>333</v>
      </c>
      <c r="B30" s="204">
        <v>1</v>
      </c>
      <c r="C30" s="204">
        <v>8424</v>
      </c>
      <c r="D30" s="204">
        <v>1</v>
      </c>
      <c r="E30" s="204">
        <v>333</v>
      </c>
      <c r="F30" s="204">
        <v>1</v>
      </c>
      <c r="G30" s="204">
        <v>333</v>
      </c>
      <c r="H30" s="204" t="s">
        <v>665</v>
      </c>
      <c r="I30" s="354">
        <v>37462</v>
      </c>
      <c r="J30" s="204" t="s">
        <v>665</v>
      </c>
      <c r="K30" s="204" t="s">
        <v>1283</v>
      </c>
      <c r="L30" s="204" t="s">
        <v>1247</v>
      </c>
      <c r="M30" s="204" t="s">
        <v>666</v>
      </c>
      <c r="N30" s="353">
        <v>100</v>
      </c>
      <c r="O30" s="204" t="s">
        <v>1322</v>
      </c>
      <c r="P30" s="204" t="s">
        <v>667</v>
      </c>
      <c r="R30" s="204" t="s">
        <v>1248</v>
      </c>
      <c r="S30" s="353">
        <v>0</v>
      </c>
      <c r="T30" s="204" t="s">
        <v>620</v>
      </c>
      <c r="U30" s="204" t="s">
        <v>294</v>
      </c>
      <c r="W30" s="204" t="s">
        <v>668</v>
      </c>
      <c r="Z30" s="204" t="s">
        <v>296</v>
      </c>
      <c r="AA30" s="204" t="s">
        <v>297</v>
      </c>
      <c r="AB30" s="204" t="s">
        <v>1323</v>
      </c>
      <c r="AC30" s="204" t="s">
        <v>1250</v>
      </c>
      <c r="AD30" s="204" t="s">
        <v>1251</v>
      </c>
      <c r="AE30" s="353">
        <v>35862</v>
      </c>
      <c r="AF30" s="353">
        <v>271527</v>
      </c>
      <c r="AG30" s="353">
        <v>0</v>
      </c>
      <c r="AH30" s="204" t="s">
        <v>298</v>
      </c>
      <c r="AI30" s="353">
        <v>1</v>
      </c>
      <c r="AJ30" s="353">
        <v>1</v>
      </c>
      <c r="AK30" s="353">
        <v>0</v>
      </c>
      <c r="AL30" s="353">
        <v>0</v>
      </c>
      <c r="AM30" s="353">
        <v>0</v>
      </c>
      <c r="AQ30" s="353">
        <v>0</v>
      </c>
      <c r="BC30" s="353">
        <v>0</v>
      </c>
      <c r="BD30" s="353">
        <v>0</v>
      </c>
      <c r="BF30" s="353">
        <v>0</v>
      </c>
      <c r="BG30" s="204" t="s">
        <v>1248</v>
      </c>
      <c r="BH30" s="204" t="s">
        <v>1248</v>
      </c>
      <c r="BJ30" s="204" t="s">
        <v>1301</v>
      </c>
      <c r="BK30" s="353">
        <v>3696</v>
      </c>
      <c r="BL30" s="353">
        <v>2</v>
      </c>
      <c r="BM30" s="353">
        <v>4</v>
      </c>
      <c r="BN30" s="353">
        <v>0</v>
      </c>
      <c r="BO30" s="353">
        <v>4</v>
      </c>
      <c r="BP30" s="353">
        <v>0</v>
      </c>
      <c r="BQ30" s="353">
        <v>924</v>
      </c>
      <c r="BR30" s="204" t="s">
        <v>1261</v>
      </c>
      <c r="BS30" s="204" t="s">
        <v>1248</v>
      </c>
      <c r="BT30" s="353">
        <v>3</v>
      </c>
      <c r="BU30" s="353">
        <v>6000</v>
      </c>
      <c r="BV30" s="204" t="s">
        <v>1248</v>
      </c>
      <c r="BW30" s="204" t="s">
        <v>1253</v>
      </c>
      <c r="BX30" s="204" t="s">
        <v>1248</v>
      </c>
      <c r="BY30" s="204" t="s">
        <v>1248</v>
      </c>
      <c r="BZ30" s="204" t="s">
        <v>1254</v>
      </c>
      <c r="CA30" s="353">
        <v>3696</v>
      </c>
      <c r="CB30" s="353">
        <v>339.48627399600002</v>
      </c>
      <c r="CC30" s="204" t="s">
        <v>517</v>
      </c>
      <c r="CD30" s="204" t="s">
        <v>300</v>
      </c>
      <c r="CE30" s="204" t="s">
        <v>301</v>
      </c>
      <c r="CF30" s="204" t="s">
        <v>1284</v>
      </c>
      <c r="CG30" s="204" t="s">
        <v>1256</v>
      </c>
      <c r="CH30" s="204" t="s">
        <v>195</v>
      </c>
      <c r="CJ30" s="204" t="s">
        <v>302</v>
      </c>
      <c r="CK30" s="353">
        <v>-9999</v>
      </c>
      <c r="CM30" s="353">
        <v>-9999</v>
      </c>
      <c r="CO30" s="353">
        <v>-9999</v>
      </c>
      <c r="CS30" s="353">
        <v>-9999</v>
      </c>
      <c r="CT30" s="353">
        <v>-9999</v>
      </c>
      <c r="CV30" s="204" t="s">
        <v>1265</v>
      </c>
      <c r="CW30" s="353">
        <v>2.1481446581E-5</v>
      </c>
      <c r="CX30" s="204">
        <v>333</v>
      </c>
      <c r="CY30" s="204">
        <v>3079</v>
      </c>
      <c r="CZ30" s="204">
        <v>3652</v>
      </c>
      <c r="DA30" s="204">
        <v>5</v>
      </c>
      <c r="DB30" s="353">
        <v>3.8069999998899998E-2</v>
      </c>
      <c r="DC30" s="353">
        <v>7.3932749999799998E-6</v>
      </c>
      <c r="DD30" s="204">
        <v>6</v>
      </c>
      <c r="DE30" s="353">
        <v>4781.7976008699998</v>
      </c>
      <c r="DF30" s="353">
        <v>131837.45546299999</v>
      </c>
      <c r="DG30" s="353">
        <v>2.7775069178299999E-2</v>
      </c>
      <c r="DH30" s="353">
        <v>5897.2803509799996</v>
      </c>
    </row>
    <row r="31" spans="1:112">
      <c r="A31" s="204">
        <v>334</v>
      </c>
      <c r="B31" s="204">
        <v>1</v>
      </c>
      <c r="C31" s="204">
        <v>8425</v>
      </c>
      <c r="D31" s="204">
        <v>1</v>
      </c>
      <c r="E31" s="204">
        <v>334</v>
      </c>
      <c r="F31" s="204">
        <v>1</v>
      </c>
      <c r="G31" s="204">
        <v>334</v>
      </c>
      <c r="H31" s="204" t="s">
        <v>593</v>
      </c>
      <c r="I31" s="354">
        <v>38349</v>
      </c>
      <c r="J31" s="204" t="s">
        <v>593</v>
      </c>
      <c r="K31" s="204" t="s">
        <v>1283</v>
      </c>
      <c r="L31" s="204" t="s">
        <v>1294</v>
      </c>
      <c r="M31" s="204" t="s">
        <v>594</v>
      </c>
      <c r="N31" s="353">
        <v>100</v>
      </c>
      <c r="P31" s="204" t="s">
        <v>595</v>
      </c>
      <c r="R31" s="204" t="s">
        <v>1248</v>
      </c>
      <c r="S31" s="353">
        <v>0</v>
      </c>
      <c r="T31" s="204" t="s">
        <v>591</v>
      </c>
      <c r="U31" s="204" t="s">
        <v>294</v>
      </c>
      <c r="W31" s="204" t="s">
        <v>596</v>
      </c>
      <c r="Z31" s="204" t="s">
        <v>296</v>
      </c>
      <c r="AA31" s="204" t="s">
        <v>297</v>
      </c>
      <c r="AB31" s="204" t="s">
        <v>1324</v>
      </c>
      <c r="AC31" s="204" t="s">
        <v>1259</v>
      </c>
      <c r="AD31" s="204" t="s">
        <v>1251</v>
      </c>
      <c r="AE31" s="353">
        <v>161994</v>
      </c>
      <c r="AF31" s="353">
        <v>209024</v>
      </c>
      <c r="AG31" s="353">
        <v>0</v>
      </c>
      <c r="AH31" s="204" t="s">
        <v>298</v>
      </c>
      <c r="AI31" s="353">
        <v>0</v>
      </c>
      <c r="AJ31" s="353">
        <v>5</v>
      </c>
      <c r="AK31" s="353">
        <v>0</v>
      </c>
      <c r="AL31" s="353">
        <v>0</v>
      </c>
      <c r="AM31" s="353">
        <v>0</v>
      </c>
      <c r="AQ31" s="353">
        <v>0</v>
      </c>
      <c r="BC31" s="353">
        <v>0</v>
      </c>
      <c r="BD31" s="353">
        <v>0</v>
      </c>
      <c r="BF31" s="353">
        <v>0</v>
      </c>
      <c r="BG31" s="204" t="s">
        <v>1248</v>
      </c>
      <c r="BH31" s="204" t="s">
        <v>1248</v>
      </c>
      <c r="BJ31" s="204" t="s">
        <v>1270</v>
      </c>
      <c r="BK31" s="353">
        <v>4449</v>
      </c>
      <c r="BL31" s="353">
        <v>1</v>
      </c>
      <c r="BM31" s="353">
        <v>5</v>
      </c>
      <c r="BN31" s="353">
        <v>0</v>
      </c>
      <c r="BO31" s="353">
        <v>5</v>
      </c>
      <c r="BP31" s="353">
        <v>0</v>
      </c>
      <c r="BQ31" s="353">
        <v>890</v>
      </c>
      <c r="BR31" s="204" t="s">
        <v>1248</v>
      </c>
      <c r="BS31" s="204" t="s">
        <v>1248</v>
      </c>
      <c r="BT31" s="353">
        <v>0</v>
      </c>
      <c r="BU31" s="353">
        <v>14071</v>
      </c>
      <c r="BV31" s="204" t="s">
        <v>1248</v>
      </c>
      <c r="BW31" s="204" t="s">
        <v>1253</v>
      </c>
      <c r="BX31" s="204" t="s">
        <v>1248</v>
      </c>
      <c r="BY31" s="204" t="s">
        <v>1248</v>
      </c>
      <c r="BZ31" s="204" t="s">
        <v>458</v>
      </c>
      <c r="CA31" s="353">
        <v>4449</v>
      </c>
      <c r="CB31" s="353">
        <v>492.80603257000001</v>
      </c>
      <c r="CC31" s="204" t="s">
        <v>299</v>
      </c>
      <c r="CD31" s="204" t="s">
        <v>300</v>
      </c>
      <c r="CE31" s="204" t="s">
        <v>301</v>
      </c>
      <c r="CF31" s="204" t="s">
        <v>1284</v>
      </c>
      <c r="CG31" s="204" t="s">
        <v>1256</v>
      </c>
      <c r="CH31" s="204" t="s">
        <v>195</v>
      </c>
      <c r="CJ31" s="204" t="s">
        <v>302</v>
      </c>
      <c r="CK31" s="353">
        <v>-9999</v>
      </c>
      <c r="CM31" s="353">
        <v>-9999</v>
      </c>
      <c r="CO31" s="353">
        <v>-9999</v>
      </c>
      <c r="CS31" s="353">
        <v>-9999</v>
      </c>
      <c r="CT31" s="353">
        <v>-9999</v>
      </c>
      <c r="CV31" s="204" t="s">
        <v>1265</v>
      </c>
      <c r="CW31" s="353">
        <v>2.1481446581E-5</v>
      </c>
      <c r="CX31" s="204">
        <v>334</v>
      </c>
      <c r="CY31" s="204">
        <v>3079</v>
      </c>
      <c r="CZ31" s="204">
        <v>3652</v>
      </c>
      <c r="DA31" s="204">
        <v>5</v>
      </c>
      <c r="DB31" s="353">
        <v>3.8069999998899998E-2</v>
      </c>
      <c r="DC31" s="353">
        <v>7.3932749999799998E-6</v>
      </c>
      <c r="DD31" s="204">
        <v>6</v>
      </c>
      <c r="DE31" s="353">
        <v>4781.7976008699998</v>
      </c>
      <c r="DF31" s="353">
        <v>131837.45546299999</v>
      </c>
      <c r="DG31" s="353">
        <v>2.7775069178299999E-2</v>
      </c>
      <c r="DH31" s="353">
        <v>14531.618567400001</v>
      </c>
    </row>
    <row r="32" spans="1:112">
      <c r="A32" s="204">
        <v>335</v>
      </c>
      <c r="B32" s="204">
        <v>1</v>
      </c>
      <c r="C32" s="204">
        <v>8427</v>
      </c>
      <c r="D32" s="204">
        <v>1</v>
      </c>
      <c r="E32" s="204">
        <v>335</v>
      </c>
      <c r="F32" s="204">
        <v>1</v>
      </c>
      <c r="G32" s="204">
        <v>335</v>
      </c>
      <c r="H32" s="204" t="s">
        <v>597</v>
      </c>
      <c r="I32" s="354">
        <v>37462</v>
      </c>
      <c r="J32" s="204" t="s">
        <v>597</v>
      </c>
      <c r="K32" s="204" t="s">
        <v>1283</v>
      </c>
      <c r="L32" s="204" t="s">
        <v>1271</v>
      </c>
      <c r="M32" s="204" t="s">
        <v>598</v>
      </c>
      <c r="N32" s="353">
        <v>100</v>
      </c>
      <c r="P32" s="204" t="s">
        <v>599</v>
      </c>
      <c r="R32" s="204" t="s">
        <v>1248</v>
      </c>
      <c r="S32" s="353">
        <v>0</v>
      </c>
      <c r="T32" s="204" t="s">
        <v>591</v>
      </c>
      <c r="U32" s="204" t="s">
        <v>294</v>
      </c>
      <c r="W32" s="204" t="s">
        <v>600</v>
      </c>
      <c r="Z32" s="204" t="s">
        <v>296</v>
      </c>
      <c r="AA32" s="204" t="s">
        <v>297</v>
      </c>
      <c r="AB32" s="204" t="s">
        <v>1325</v>
      </c>
      <c r="AC32" s="204" t="s">
        <v>1259</v>
      </c>
      <c r="AD32" s="204" t="s">
        <v>1251</v>
      </c>
      <c r="AE32" s="353">
        <v>125376</v>
      </c>
      <c r="AF32" s="353">
        <v>200603</v>
      </c>
      <c r="AG32" s="353">
        <v>0</v>
      </c>
      <c r="AH32" s="204" t="s">
        <v>298</v>
      </c>
      <c r="AI32" s="353">
        <v>0</v>
      </c>
      <c r="AJ32" s="353">
        <v>3</v>
      </c>
      <c r="AK32" s="353">
        <v>0</v>
      </c>
      <c r="AL32" s="353">
        <v>0</v>
      </c>
      <c r="AM32" s="353">
        <v>0</v>
      </c>
      <c r="AQ32" s="353">
        <v>0</v>
      </c>
      <c r="BC32" s="353">
        <v>0</v>
      </c>
      <c r="BD32" s="353">
        <v>0</v>
      </c>
      <c r="BF32" s="353">
        <v>0</v>
      </c>
      <c r="BG32" s="204" t="s">
        <v>1248</v>
      </c>
      <c r="BH32" s="204" t="s">
        <v>1248</v>
      </c>
      <c r="BJ32" s="204" t="s">
        <v>1260</v>
      </c>
      <c r="BK32" s="353">
        <v>2554</v>
      </c>
      <c r="BL32" s="353">
        <v>1</v>
      </c>
      <c r="BM32" s="353">
        <v>5</v>
      </c>
      <c r="BN32" s="353">
        <v>5</v>
      </c>
      <c r="BO32" s="353">
        <v>0</v>
      </c>
      <c r="BP32" s="353">
        <v>0</v>
      </c>
      <c r="BQ32" s="353">
        <v>510</v>
      </c>
      <c r="BR32" s="204" t="s">
        <v>1248</v>
      </c>
      <c r="BS32" s="204" t="s">
        <v>1248</v>
      </c>
      <c r="BT32" s="353">
        <v>0</v>
      </c>
      <c r="BU32" s="353">
        <v>10693</v>
      </c>
      <c r="BV32" s="204" t="s">
        <v>1248</v>
      </c>
      <c r="BW32" s="204" t="s">
        <v>1253</v>
      </c>
      <c r="BX32" s="204" t="s">
        <v>1248</v>
      </c>
      <c r="BY32" s="204" t="s">
        <v>1248</v>
      </c>
      <c r="BZ32" s="204" t="s">
        <v>723</v>
      </c>
      <c r="CA32" s="353">
        <v>2554</v>
      </c>
      <c r="CB32" s="353">
        <v>425.54998739600001</v>
      </c>
      <c r="CC32" s="204" t="s">
        <v>299</v>
      </c>
      <c r="CD32" s="204" t="s">
        <v>300</v>
      </c>
      <c r="CE32" s="204" t="s">
        <v>301</v>
      </c>
      <c r="CF32" s="204" t="s">
        <v>1284</v>
      </c>
      <c r="CG32" s="204" t="s">
        <v>1256</v>
      </c>
      <c r="CH32" s="204" t="s">
        <v>195</v>
      </c>
      <c r="CJ32" s="204" t="s">
        <v>302</v>
      </c>
      <c r="CK32" s="353">
        <v>-9999</v>
      </c>
      <c r="CM32" s="353">
        <v>-9999</v>
      </c>
      <c r="CO32" s="353">
        <v>-9999</v>
      </c>
      <c r="CS32" s="353">
        <v>-9999</v>
      </c>
      <c r="CT32" s="353">
        <v>-9999</v>
      </c>
      <c r="CV32" s="204" t="s">
        <v>1265</v>
      </c>
      <c r="CW32" s="353">
        <v>2.1481446581E-5</v>
      </c>
      <c r="CX32" s="204">
        <v>335</v>
      </c>
      <c r="CY32" s="204">
        <v>3079</v>
      </c>
      <c r="CZ32" s="204">
        <v>3652</v>
      </c>
      <c r="DA32" s="204">
        <v>5</v>
      </c>
      <c r="DB32" s="353">
        <v>3.8069999998899998E-2</v>
      </c>
      <c r="DC32" s="353">
        <v>7.3932749999799998E-6</v>
      </c>
      <c r="DD32" s="204">
        <v>6</v>
      </c>
      <c r="DE32" s="353">
        <v>4781.7976008699998</v>
      </c>
      <c r="DF32" s="353">
        <v>131837.45546299999</v>
      </c>
      <c r="DG32" s="353">
        <v>2.7775069178299999E-2</v>
      </c>
      <c r="DH32" s="353">
        <v>10734.6407122</v>
      </c>
    </row>
    <row r="33" spans="1:112">
      <c r="A33" s="204">
        <v>336</v>
      </c>
      <c r="B33" s="204">
        <v>1</v>
      </c>
      <c r="C33" s="204">
        <v>8430</v>
      </c>
      <c r="D33" s="204">
        <v>1</v>
      </c>
      <c r="E33" s="204">
        <v>336</v>
      </c>
      <c r="F33" s="204">
        <v>1</v>
      </c>
      <c r="G33" s="204">
        <v>336</v>
      </c>
      <c r="H33" s="204" t="s">
        <v>669</v>
      </c>
      <c r="I33" s="354">
        <v>37462</v>
      </c>
      <c r="J33" s="204" t="s">
        <v>669</v>
      </c>
      <c r="K33" s="204" t="s">
        <v>1326</v>
      </c>
      <c r="L33" s="204" t="s">
        <v>1288</v>
      </c>
      <c r="M33" s="204" t="s">
        <v>670</v>
      </c>
      <c r="N33" s="353">
        <v>100</v>
      </c>
      <c r="P33" s="204" t="s">
        <v>671</v>
      </c>
      <c r="R33" s="204" t="s">
        <v>1248</v>
      </c>
      <c r="S33" s="353">
        <v>0</v>
      </c>
      <c r="T33" s="204" t="s">
        <v>620</v>
      </c>
      <c r="U33" s="204" t="s">
        <v>294</v>
      </c>
      <c r="W33" s="204" t="s">
        <v>672</v>
      </c>
      <c r="Z33" s="204" t="s">
        <v>296</v>
      </c>
      <c r="AA33" s="204" t="s">
        <v>297</v>
      </c>
      <c r="AB33" s="204" t="s">
        <v>1327</v>
      </c>
      <c r="AC33" s="204" t="s">
        <v>1250</v>
      </c>
      <c r="AD33" s="204" t="s">
        <v>1251</v>
      </c>
      <c r="AE33" s="353">
        <v>89900</v>
      </c>
      <c r="AF33" s="353">
        <v>210100</v>
      </c>
      <c r="AG33" s="353">
        <v>0</v>
      </c>
      <c r="AH33" s="204" t="s">
        <v>298</v>
      </c>
      <c r="AI33" s="353">
        <v>1</v>
      </c>
      <c r="AJ33" s="353">
        <v>1</v>
      </c>
      <c r="AK33" s="353">
        <v>0</v>
      </c>
      <c r="AL33" s="353">
        <v>0</v>
      </c>
      <c r="AM33" s="353">
        <v>0</v>
      </c>
      <c r="AQ33" s="353">
        <v>0</v>
      </c>
      <c r="BC33" s="353">
        <v>0</v>
      </c>
      <c r="BD33" s="353">
        <v>0</v>
      </c>
      <c r="BF33" s="353">
        <v>0</v>
      </c>
      <c r="BG33" s="204" t="s">
        <v>1248</v>
      </c>
      <c r="BH33" s="204" t="s">
        <v>1248</v>
      </c>
      <c r="BJ33" s="204" t="s">
        <v>1301</v>
      </c>
      <c r="BK33" s="353">
        <v>3036</v>
      </c>
      <c r="BL33" s="353">
        <v>2</v>
      </c>
      <c r="BM33" s="353">
        <v>4</v>
      </c>
      <c r="BN33" s="353">
        <v>0</v>
      </c>
      <c r="BO33" s="353">
        <v>4</v>
      </c>
      <c r="BP33" s="353">
        <v>0</v>
      </c>
      <c r="BQ33" s="353">
        <v>759</v>
      </c>
      <c r="BR33" s="204" t="s">
        <v>1248</v>
      </c>
      <c r="BS33" s="204" t="s">
        <v>1271</v>
      </c>
      <c r="BT33" s="353">
        <v>6</v>
      </c>
      <c r="BU33" s="353">
        <v>5200</v>
      </c>
      <c r="BV33" s="204" t="s">
        <v>1248</v>
      </c>
      <c r="BW33" s="204" t="s">
        <v>1253</v>
      </c>
      <c r="BX33" s="204" t="s">
        <v>1248</v>
      </c>
      <c r="BY33" s="204" t="s">
        <v>1248</v>
      </c>
      <c r="CA33" s="353">
        <v>3036</v>
      </c>
      <c r="CB33" s="353">
        <v>342.36539586399999</v>
      </c>
      <c r="CC33" s="204" t="s">
        <v>517</v>
      </c>
      <c r="CD33" s="204" t="s">
        <v>300</v>
      </c>
      <c r="CE33" s="204" t="s">
        <v>301</v>
      </c>
      <c r="CF33" s="204" t="s">
        <v>1284</v>
      </c>
      <c r="CG33" s="204" t="s">
        <v>1256</v>
      </c>
      <c r="CH33" s="204" t="s">
        <v>195</v>
      </c>
      <c r="CJ33" s="204" t="s">
        <v>302</v>
      </c>
      <c r="CK33" s="353">
        <v>-9999</v>
      </c>
      <c r="CM33" s="353">
        <v>-9999</v>
      </c>
      <c r="CO33" s="353">
        <v>-9999</v>
      </c>
      <c r="CS33" s="353">
        <v>-9999</v>
      </c>
      <c r="CT33" s="353">
        <v>-9999</v>
      </c>
      <c r="CV33" s="204" t="s">
        <v>1265</v>
      </c>
      <c r="CW33" s="353">
        <v>2.1481446581E-5</v>
      </c>
      <c r="CX33" s="204">
        <v>336</v>
      </c>
      <c r="CY33" s="204">
        <v>3079</v>
      </c>
      <c r="CZ33" s="204">
        <v>3652</v>
      </c>
      <c r="DA33" s="204">
        <v>5</v>
      </c>
      <c r="DB33" s="353">
        <v>3.8069999998899998E-2</v>
      </c>
      <c r="DC33" s="353">
        <v>7.3932749999799998E-6</v>
      </c>
      <c r="DD33" s="204">
        <v>6</v>
      </c>
      <c r="DE33" s="353">
        <v>4781.7976008699998</v>
      </c>
      <c r="DF33" s="353">
        <v>131837.45546299999</v>
      </c>
      <c r="DG33" s="353">
        <v>2.7775069178299999E-2</v>
      </c>
      <c r="DH33" s="353">
        <v>5305.2940773</v>
      </c>
    </row>
    <row r="34" spans="1:112">
      <c r="A34" s="204">
        <v>337</v>
      </c>
      <c r="B34" s="204">
        <v>2</v>
      </c>
      <c r="C34" s="204">
        <v>8432</v>
      </c>
      <c r="D34" s="204">
        <v>1</v>
      </c>
      <c r="E34" s="204">
        <v>337</v>
      </c>
      <c r="F34" s="204">
        <v>1</v>
      </c>
      <c r="G34" s="204">
        <v>337</v>
      </c>
      <c r="H34" s="204" t="s">
        <v>1073</v>
      </c>
      <c r="I34" s="354">
        <v>37462</v>
      </c>
      <c r="J34" s="204" t="s">
        <v>1073</v>
      </c>
      <c r="K34" s="204" t="s">
        <v>1326</v>
      </c>
      <c r="L34" s="204" t="s">
        <v>1247</v>
      </c>
      <c r="M34" s="204" t="s">
        <v>1074</v>
      </c>
      <c r="N34" s="353">
        <v>100</v>
      </c>
      <c r="P34" s="204" t="s">
        <v>1075</v>
      </c>
      <c r="R34" s="204" t="s">
        <v>1248</v>
      </c>
      <c r="S34" s="353">
        <v>0</v>
      </c>
      <c r="T34" s="204" t="s">
        <v>1076</v>
      </c>
      <c r="U34" s="204" t="s">
        <v>294</v>
      </c>
      <c r="Z34" s="204" t="s">
        <v>296</v>
      </c>
      <c r="AA34" s="204" t="s">
        <v>297</v>
      </c>
      <c r="AC34" s="204" t="s">
        <v>1259</v>
      </c>
      <c r="AD34" s="204" t="s">
        <v>1251</v>
      </c>
      <c r="AE34" s="353">
        <v>29968</v>
      </c>
      <c r="AF34" s="353">
        <v>189964</v>
      </c>
      <c r="AG34" s="353">
        <v>0</v>
      </c>
      <c r="AH34" s="204" t="s">
        <v>298</v>
      </c>
      <c r="AI34" s="353">
        <v>0</v>
      </c>
      <c r="AJ34" s="353">
        <v>3</v>
      </c>
      <c r="AK34" s="353">
        <v>0</v>
      </c>
      <c r="AL34" s="353">
        <v>0</v>
      </c>
      <c r="AM34" s="353">
        <v>0</v>
      </c>
      <c r="AQ34" s="353">
        <v>0</v>
      </c>
      <c r="BC34" s="353">
        <v>0</v>
      </c>
      <c r="BD34" s="353">
        <v>0</v>
      </c>
      <c r="BF34" s="353">
        <v>0</v>
      </c>
      <c r="BG34" s="204" t="s">
        <v>1248</v>
      </c>
      <c r="BH34" s="204" t="s">
        <v>1248</v>
      </c>
      <c r="BJ34" s="204" t="s">
        <v>1270</v>
      </c>
      <c r="BK34" s="353">
        <v>8516</v>
      </c>
      <c r="BL34" s="353">
        <v>2</v>
      </c>
      <c r="BM34" s="353">
        <v>9</v>
      </c>
      <c r="BN34" s="353">
        <v>0</v>
      </c>
      <c r="BO34" s="353">
        <v>9</v>
      </c>
      <c r="BP34" s="353">
        <v>0</v>
      </c>
      <c r="BQ34" s="353">
        <v>946</v>
      </c>
      <c r="BR34" s="204" t="s">
        <v>1261</v>
      </c>
      <c r="BS34" s="204" t="s">
        <v>1248</v>
      </c>
      <c r="BT34" s="353">
        <v>8</v>
      </c>
      <c r="BU34" s="353">
        <v>21050</v>
      </c>
      <c r="BV34" s="204" t="s">
        <v>1248</v>
      </c>
      <c r="BW34" s="204" t="s">
        <v>1253</v>
      </c>
      <c r="BX34" s="204" t="s">
        <v>1248</v>
      </c>
      <c r="BY34" s="204" t="s">
        <v>1248</v>
      </c>
      <c r="CA34" s="353">
        <v>8516</v>
      </c>
      <c r="CB34" s="353">
        <v>586.15210578799997</v>
      </c>
      <c r="CC34" s="204" t="s">
        <v>299</v>
      </c>
      <c r="CD34" s="204" t="s">
        <v>300</v>
      </c>
      <c r="CE34" s="204" t="s">
        <v>301</v>
      </c>
      <c r="CF34" s="204" t="s">
        <v>1297</v>
      </c>
      <c r="CG34" s="204" t="s">
        <v>1256</v>
      </c>
      <c r="CH34" s="204" t="s">
        <v>1298</v>
      </c>
      <c r="CI34" s="204" t="s">
        <v>351</v>
      </c>
      <c r="CJ34" s="204" t="s">
        <v>678</v>
      </c>
      <c r="CK34" s="353">
        <v>-9999</v>
      </c>
      <c r="CM34" s="353">
        <v>-9999</v>
      </c>
      <c r="CO34" s="353">
        <v>-9999</v>
      </c>
      <c r="CS34" s="353">
        <v>-9999</v>
      </c>
      <c r="CT34" s="353">
        <v>-9999</v>
      </c>
      <c r="CV34" s="204" t="s">
        <v>1265</v>
      </c>
      <c r="CW34" s="353">
        <v>4.84062517235E-4</v>
      </c>
      <c r="CX34" s="204">
        <v>337</v>
      </c>
      <c r="CY34" s="204">
        <v>3079</v>
      </c>
      <c r="CZ34" s="204">
        <v>3652</v>
      </c>
      <c r="DA34" s="204">
        <v>5</v>
      </c>
      <c r="DB34" s="353">
        <v>3.8069999998899998E-2</v>
      </c>
      <c r="DC34" s="353">
        <v>7.3932749999799998E-6</v>
      </c>
      <c r="DD34" s="204">
        <v>6</v>
      </c>
      <c r="DE34" s="353">
        <v>4781.7976008699998</v>
      </c>
      <c r="DF34" s="353">
        <v>131837.45546299999</v>
      </c>
      <c r="DG34" s="353">
        <v>0.148914391663</v>
      </c>
      <c r="DH34" s="353">
        <v>21217.314151400002</v>
      </c>
    </row>
    <row r="35" spans="1:112">
      <c r="A35" s="204">
        <v>338</v>
      </c>
      <c r="B35" s="204">
        <v>1</v>
      </c>
      <c r="C35" s="204">
        <v>8441</v>
      </c>
      <c r="D35" s="204">
        <v>1</v>
      </c>
      <c r="E35" s="204">
        <v>338</v>
      </c>
      <c r="F35" s="204">
        <v>1</v>
      </c>
      <c r="G35" s="204">
        <v>338</v>
      </c>
      <c r="H35" s="204" t="s">
        <v>609</v>
      </c>
      <c r="I35" s="354">
        <v>37462</v>
      </c>
      <c r="J35" s="204" t="s">
        <v>609</v>
      </c>
      <c r="K35" s="204" t="s">
        <v>1283</v>
      </c>
      <c r="L35" s="204" t="s">
        <v>1271</v>
      </c>
      <c r="M35" s="204" t="s">
        <v>610</v>
      </c>
      <c r="N35" s="353">
        <v>100</v>
      </c>
      <c r="P35" s="204" t="s">
        <v>611</v>
      </c>
      <c r="R35" s="204" t="s">
        <v>1248</v>
      </c>
      <c r="S35" s="353">
        <v>0</v>
      </c>
      <c r="T35" s="204" t="s">
        <v>612</v>
      </c>
      <c r="U35" s="204" t="s">
        <v>307</v>
      </c>
      <c r="W35" s="204" t="s">
        <v>613</v>
      </c>
      <c r="Z35" s="204" t="s">
        <v>296</v>
      </c>
      <c r="AA35" s="204" t="s">
        <v>297</v>
      </c>
      <c r="AB35" s="204" t="s">
        <v>1328</v>
      </c>
      <c r="AC35" s="204" t="s">
        <v>1259</v>
      </c>
      <c r="AD35" s="204" t="s">
        <v>1251</v>
      </c>
      <c r="AE35" s="353">
        <v>41438</v>
      </c>
      <c r="AF35" s="353">
        <v>188634</v>
      </c>
      <c r="AG35" s="353">
        <v>0</v>
      </c>
      <c r="AH35" s="204" t="s">
        <v>298</v>
      </c>
      <c r="AI35" s="353">
        <v>0</v>
      </c>
      <c r="AJ35" s="353">
        <v>3</v>
      </c>
      <c r="AK35" s="353">
        <v>0</v>
      </c>
      <c r="AL35" s="353">
        <v>0</v>
      </c>
      <c r="AM35" s="353">
        <v>0</v>
      </c>
      <c r="AQ35" s="353">
        <v>0</v>
      </c>
      <c r="BC35" s="353">
        <v>0</v>
      </c>
      <c r="BD35" s="353">
        <v>0</v>
      </c>
      <c r="BF35" s="353">
        <v>0</v>
      </c>
      <c r="BG35" s="204" t="s">
        <v>1248</v>
      </c>
      <c r="BH35" s="204" t="s">
        <v>1248</v>
      </c>
      <c r="BJ35" s="204" t="s">
        <v>1270</v>
      </c>
      <c r="BK35" s="353">
        <v>5959</v>
      </c>
      <c r="BL35" s="353">
        <v>2</v>
      </c>
      <c r="BM35" s="353">
        <v>8</v>
      </c>
      <c r="BN35" s="353">
        <v>1</v>
      </c>
      <c r="BO35" s="353">
        <v>7</v>
      </c>
      <c r="BP35" s="353">
        <v>0</v>
      </c>
      <c r="BQ35" s="353">
        <v>745</v>
      </c>
      <c r="BR35" s="204" t="s">
        <v>1248</v>
      </c>
      <c r="BS35" s="204" t="s">
        <v>1248</v>
      </c>
      <c r="BT35" s="353">
        <v>0</v>
      </c>
      <c r="BU35" s="353">
        <v>11300</v>
      </c>
      <c r="BV35" s="204" t="s">
        <v>1248</v>
      </c>
      <c r="BW35" s="204" t="s">
        <v>1253</v>
      </c>
      <c r="BX35" s="204" t="s">
        <v>1248</v>
      </c>
      <c r="BY35" s="204" t="s">
        <v>1248</v>
      </c>
      <c r="CA35" s="353">
        <v>5959</v>
      </c>
      <c r="CB35" s="353">
        <v>437.15545718700002</v>
      </c>
      <c r="CC35" s="204" t="s">
        <v>299</v>
      </c>
      <c r="CD35" s="204" t="s">
        <v>300</v>
      </c>
      <c r="CE35" s="204" t="s">
        <v>301</v>
      </c>
      <c r="CF35" s="204" t="s">
        <v>1284</v>
      </c>
      <c r="CG35" s="204" t="s">
        <v>1256</v>
      </c>
      <c r="CH35" s="204" t="s">
        <v>195</v>
      </c>
      <c r="CJ35" s="204" t="s">
        <v>302</v>
      </c>
      <c r="CK35" s="353">
        <v>-9999</v>
      </c>
      <c r="CM35" s="353">
        <v>-9999</v>
      </c>
      <c r="CO35" s="353">
        <v>-9999</v>
      </c>
      <c r="CS35" s="353">
        <v>-9999</v>
      </c>
      <c r="CT35" s="353">
        <v>-9999</v>
      </c>
      <c r="CV35" s="204" t="s">
        <v>1265</v>
      </c>
      <c r="CW35" s="353">
        <v>2.1481446581E-5</v>
      </c>
      <c r="CX35" s="204">
        <v>338</v>
      </c>
      <c r="CY35" s="204">
        <v>3079</v>
      </c>
      <c r="CZ35" s="204">
        <v>3652</v>
      </c>
      <c r="DA35" s="204">
        <v>5</v>
      </c>
      <c r="DB35" s="353">
        <v>3.8069999998899998E-2</v>
      </c>
      <c r="DC35" s="353">
        <v>7.3932749999799998E-6</v>
      </c>
      <c r="DD35" s="204">
        <v>6</v>
      </c>
      <c r="DE35" s="353">
        <v>4781.7976008699998</v>
      </c>
      <c r="DF35" s="353">
        <v>131837.45546299999</v>
      </c>
      <c r="DG35" s="353">
        <v>2.7775069178299999E-2</v>
      </c>
      <c r="DH35" s="353">
        <v>11216.695682</v>
      </c>
    </row>
    <row r="36" spans="1:112">
      <c r="A36" s="204">
        <v>361</v>
      </c>
      <c r="B36" s="204">
        <v>1</v>
      </c>
      <c r="C36" s="204">
        <v>9186</v>
      </c>
      <c r="D36" s="204">
        <v>0</v>
      </c>
      <c r="E36" s="204">
        <v>361</v>
      </c>
      <c r="F36" s="204">
        <v>0</v>
      </c>
      <c r="G36" s="204">
        <v>361</v>
      </c>
      <c r="H36" s="204" t="s">
        <v>576</v>
      </c>
      <c r="I36" s="354">
        <v>37462</v>
      </c>
      <c r="J36" s="204" t="s">
        <v>576</v>
      </c>
      <c r="K36" s="204" t="s">
        <v>1329</v>
      </c>
      <c r="L36" s="204" t="s">
        <v>1247</v>
      </c>
      <c r="M36" s="204" t="s">
        <v>577</v>
      </c>
      <c r="N36" s="353">
        <v>100</v>
      </c>
      <c r="O36" s="204" t="s">
        <v>1330</v>
      </c>
      <c r="P36" s="204" t="s">
        <v>578</v>
      </c>
      <c r="Q36" s="204" t="s">
        <v>579</v>
      </c>
      <c r="R36" s="204" t="s">
        <v>1248</v>
      </c>
      <c r="S36" s="353">
        <v>0.17599999999999999</v>
      </c>
      <c r="T36" s="204" t="s">
        <v>580</v>
      </c>
      <c r="U36" s="204" t="s">
        <v>406</v>
      </c>
      <c r="Z36" s="204" t="s">
        <v>581</v>
      </c>
      <c r="AA36" s="204" t="s">
        <v>582</v>
      </c>
      <c r="AC36" s="204" t="s">
        <v>1274</v>
      </c>
      <c r="AD36" s="204" t="s">
        <v>1251</v>
      </c>
      <c r="AE36" s="353">
        <v>57859</v>
      </c>
      <c r="AF36" s="353">
        <v>0</v>
      </c>
      <c r="AG36" s="353">
        <v>0</v>
      </c>
      <c r="AH36" s="204" t="s">
        <v>298</v>
      </c>
      <c r="AI36" s="353">
        <v>0</v>
      </c>
      <c r="AJ36" s="353">
        <v>0</v>
      </c>
      <c r="AK36" s="353">
        <v>0</v>
      </c>
      <c r="AL36" s="353">
        <v>0</v>
      </c>
      <c r="AM36" s="353">
        <v>0</v>
      </c>
      <c r="AQ36" s="353">
        <v>0</v>
      </c>
      <c r="BC36" s="353">
        <v>0</v>
      </c>
      <c r="BD36" s="353">
        <v>0</v>
      </c>
      <c r="BF36" s="353">
        <v>0</v>
      </c>
      <c r="BG36" s="204" t="s">
        <v>1248</v>
      </c>
      <c r="BH36" s="204" t="s">
        <v>1248</v>
      </c>
      <c r="BK36" s="353">
        <v>0</v>
      </c>
      <c r="BL36" s="353">
        <v>0</v>
      </c>
      <c r="BM36" s="353">
        <v>0</v>
      </c>
      <c r="BN36" s="353">
        <v>0</v>
      </c>
      <c r="BO36" s="353">
        <v>0</v>
      </c>
      <c r="BP36" s="353">
        <v>0</v>
      </c>
      <c r="BQ36" s="353">
        <v>0</v>
      </c>
      <c r="BT36" s="353">
        <v>0</v>
      </c>
      <c r="BU36" s="353">
        <v>0</v>
      </c>
      <c r="BX36" s="204" t="s">
        <v>1248</v>
      </c>
      <c r="BY36" s="204" t="s">
        <v>1248</v>
      </c>
      <c r="CA36" s="353">
        <v>0</v>
      </c>
      <c r="CB36" s="353">
        <v>345.970395145</v>
      </c>
      <c r="CC36" s="204" t="s">
        <v>88</v>
      </c>
      <c r="CD36" s="204" t="s">
        <v>300</v>
      </c>
      <c r="CE36" s="204" t="s">
        <v>301</v>
      </c>
      <c r="CF36" s="204" t="s">
        <v>1331</v>
      </c>
      <c r="CG36" s="204" t="s">
        <v>1256</v>
      </c>
      <c r="CH36" s="204" t="s">
        <v>186</v>
      </c>
      <c r="CJ36" s="204" t="s">
        <v>302</v>
      </c>
      <c r="CK36" s="353">
        <v>0</v>
      </c>
      <c r="CM36" s="353">
        <v>0</v>
      </c>
      <c r="CO36" s="353">
        <v>0</v>
      </c>
      <c r="CS36" s="353">
        <v>-9999</v>
      </c>
      <c r="CT36" s="353">
        <v>-9999</v>
      </c>
      <c r="CV36" s="204" t="s">
        <v>1265</v>
      </c>
      <c r="CW36" s="353">
        <v>4.91356708097E-6</v>
      </c>
      <c r="CX36" s="204">
        <v>361</v>
      </c>
      <c r="CY36" s="204">
        <v>0</v>
      </c>
      <c r="CZ36" s="204">
        <v>0</v>
      </c>
      <c r="DA36" s="204">
        <v>10</v>
      </c>
      <c r="DB36" s="353">
        <v>0</v>
      </c>
      <c r="DC36" s="353">
        <v>0</v>
      </c>
      <c r="DD36" s="204">
        <v>10</v>
      </c>
      <c r="DE36" s="353">
        <v>0</v>
      </c>
      <c r="DF36" s="353">
        <v>0</v>
      </c>
      <c r="DG36" s="353">
        <v>1.67533290221E-2</v>
      </c>
      <c r="DH36" s="353">
        <v>7340.8557799199998</v>
      </c>
    </row>
    <row r="37" spans="1:112">
      <c r="A37" s="204">
        <v>377</v>
      </c>
      <c r="B37" s="204">
        <v>1</v>
      </c>
      <c r="C37" s="204">
        <v>9247</v>
      </c>
      <c r="D37" s="204">
        <v>1</v>
      </c>
      <c r="E37" s="204">
        <v>377</v>
      </c>
      <c r="F37" s="204">
        <v>0</v>
      </c>
      <c r="G37" s="204">
        <v>377</v>
      </c>
      <c r="H37" s="204" t="s">
        <v>1113</v>
      </c>
      <c r="I37" s="354">
        <v>37462</v>
      </c>
      <c r="J37" s="204" t="s">
        <v>1113</v>
      </c>
      <c r="K37" s="204" t="s">
        <v>1332</v>
      </c>
      <c r="L37" s="204" t="s">
        <v>1247</v>
      </c>
      <c r="M37" s="204" t="s">
        <v>1114</v>
      </c>
      <c r="N37" s="353">
        <v>100</v>
      </c>
      <c r="O37" s="204" t="s">
        <v>1333</v>
      </c>
      <c r="P37" s="204" t="s">
        <v>1115</v>
      </c>
      <c r="R37" s="204" t="s">
        <v>1248</v>
      </c>
      <c r="S37" s="353">
        <v>0</v>
      </c>
      <c r="T37" s="204" t="s">
        <v>1116</v>
      </c>
      <c r="U37" s="204" t="s">
        <v>307</v>
      </c>
      <c r="W37" s="204" t="s">
        <v>1117</v>
      </c>
      <c r="Z37" s="204" t="s">
        <v>309</v>
      </c>
      <c r="AA37" s="204" t="s">
        <v>310</v>
      </c>
      <c r="AB37" s="204" t="s">
        <v>1334</v>
      </c>
      <c r="AC37" s="204" t="s">
        <v>1278</v>
      </c>
      <c r="AD37" s="204" t="s">
        <v>384</v>
      </c>
      <c r="AE37" s="353">
        <v>56842</v>
      </c>
      <c r="AF37" s="353">
        <v>158928</v>
      </c>
      <c r="AG37" s="353">
        <v>0</v>
      </c>
      <c r="AH37" s="204" t="s">
        <v>423</v>
      </c>
      <c r="AI37" s="353">
        <v>1</v>
      </c>
      <c r="AJ37" s="353">
        <v>1</v>
      </c>
      <c r="AK37" s="353">
        <v>4</v>
      </c>
      <c r="AL37" s="353">
        <v>2</v>
      </c>
      <c r="AM37" s="353">
        <v>12</v>
      </c>
      <c r="AN37" s="204" t="s">
        <v>186</v>
      </c>
      <c r="AO37" s="204" t="s">
        <v>1248</v>
      </c>
      <c r="AP37" s="204" t="s">
        <v>1271</v>
      </c>
      <c r="AQ37" s="353">
        <v>2</v>
      </c>
      <c r="AR37" s="204" t="s">
        <v>1296</v>
      </c>
      <c r="AS37" s="204" t="s">
        <v>1248</v>
      </c>
      <c r="AT37" s="204" t="s">
        <v>1248</v>
      </c>
      <c r="AU37" s="204" t="s">
        <v>1248</v>
      </c>
      <c r="AV37" s="204" t="s">
        <v>1118</v>
      </c>
      <c r="AW37" s="204" t="s">
        <v>1248</v>
      </c>
      <c r="AX37" s="204" t="s">
        <v>1253</v>
      </c>
      <c r="AZ37" s="204" t="s">
        <v>1248</v>
      </c>
      <c r="BB37" s="204" t="s">
        <v>1317</v>
      </c>
      <c r="BC37" s="353">
        <v>5500</v>
      </c>
      <c r="BD37" s="353">
        <v>2254</v>
      </c>
      <c r="BE37" s="204" t="s">
        <v>723</v>
      </c>
      <c r="BF37" s="353">
        <v>0</v>
      </c>
      <c r="BG37" s="204" t="s">
        <v>1248</v>
      </c>
      <c r="BH37" s="204" t="s">
        <v>1248</v>
      </c>
      <c r="BI37" s="204" t="s">
        <v>723</v>
      </c>
      <c r="BK37" s="353">
        <v>0</v>
      </c>
      <c r="BL37" s="353">
        <v>0</v>
      </c>
      <c r="BM37" s="353">
        <v>0</v>
      </c>
      <c r="BN37" s="353">
        <v>0</v>
      </c>
      <c r="BO37" s="353">
        <v>0</v>
      </c>
      <c r="BP37" s="353">
        <v>0</v>
      </c>
      <c r="BQ37" s="353">
        <v>0</v>
      </c>
      <c r="BT37" s="353">
        <v>0</v>
      </c>
      <c r="BU37" s="353">
        <v>0</v>
      </c>
      <c r="CA37" s="353">
        <v>0</v>
      </c>
      <c r="CB37" s="353">
        <v>323.37656109199997</v>
      </c>
      <c r="CC37" s="204" t="s">
        <v>425</v>
      </c>
      <c r="CD37" s="204" t="s">
        <v>300</v>
      </c>
      <c r="CE37" s="204" t="s">
        <v>301</v>
      </c>
      <c r="CF37" s="204" t="s">
        <v>1335</v>
      </c>
      <c r="CG37" s="204" t="s">
        <v>1256</v>
      </c>
      <c r="CH37" s="204" t="s">
        <v>1298</v>
      </c>
      <c r="CI37" s="204" t="s">
        <v>351</v>
      </c>
      <c r="CJ37" s="204" t="s">
        <v>678</v>
      </c>
      <c r="CK37" s="353">
        <v>-9999</v>
      </c>
      <c r="CM37" s="353">
        <v>-9999</v>
      </c>
      <c r="CO37" s="353">
        <v>-9999</v>
      </c>
      <c r="CS37" s="353">
        <v>-9999</v>
      </c>
      <c r="CT37" s="353">
        <v>-9999</v>
      </c>
      <c r="CV37" s="204" t="s">
        <v>1336</v>
      </c>
      <c r="CW37" s="353">
        <v>5.28165524707E-4</v>
      </c>
      <c r="CX37" s="204">
        <v>377</v>
      </c>
      <c r="CY37" s="204">
        <v>0</v>
      </c>
      <c r="CZ37" s="204">
        <v>0</v>
      </c>
      <c r="DA37" s="204">
        <v>10</v>
      </c>
      <c r="DB37" s="353">
        <v>0</v>
      </c>
      <c r="DC37" s="353">
        <v>0</v>
      </c>
      <c r="DD37" s="204">
        <v>6</v>
      </c>
      <c r="DE37" s="353">
        <v>1703.7239223199999</v>
      </c>
      <c r="DF37" s="353">
        <v>9802.8492366999999</v>
      </c>
      <c r="DG37" s="353">
        <v>0.17013133497300001</v>
      </c>
      <c r="DH37" s="353">
        <v>5352.5175133299999</v>
      </c>
    </row>
    <row r="38" spans="1:112">
      <c r="A38" s="204">
        <v>409</v>
      </c>
      <c r="B38" s="204">
        <v>1</v>
      </c>
      <c r="C38" s="204">
        <v>9410</v>
      </c>
      <c r="D38" s="204">
        <v>0</v>
      </c>
      <c r="E38" s="204">
        <v>409</v>
      </c>
      <c r="F38" s="204">
        <v>0</v>
      </c>
      <c r="G38" s="204">
        <v>409</v>
      </c>
      <c r="H38" s="204" t="s">
        <v>518</v>
      </c>
      <c r="I38" s="354">
        <v>37462</v>
      </c>
      <c r="J38" s="204" t="s">
        <v>518</v>
      </c>
      <c r="K38" s="204" t="s">
        <v>1332</v>
      </c>
      <c r="L38" s="204" t="s">
        <v>1288</v>
      </c>
      <c r="M38" s="204" t="s">
        <v>519</v>
      </c>
      <c r="N38" s="353">
        <v>100</v>
      </c>
      <c r="O38" s="204" t="s">
        <v>1337</v>
      </c>
      <c r="P38" s="204" t="s">
        <v>520</v>
      </c>
      <c r="R38" s="204" t="s">
        <v>1248</v>
      </c>
      <c r="S38" s="353">
        <v>0</v>
      </c>
      <c r="T38" s="204" t="s">
        <v>376</v>
      </c>
      <c r="U38" s="204" t="s">
        <v>307</v>
      </c>
      <c r="W38" s="204" t="s">
        <v>521</v>
      </c>
      <c r="X38" s="204" t="s">
        <v>1338</v>
      </c>
      <c r="Z38" s="204" t="s">
        <v>309</v>
      </c>
      <c r="AA38" s="204" t="s">
        <v>310</v>
      </c>
      <c r="AB38" s="204" t="s">
        <v>1339</v>
      </c>
      <c r="AC38" s="204" t="s">
        <v>1250</v>
      </c>
      <c r="AD38" s="204" t="s">
        <v>1251</v>
      </c>
      <c r="AE38" s="353">
        <v>103749</v>
      </c>
      <c r="AF38" s="353">
        <v>256903</v>
      </c>
      <c r="AG38" s="353">
        <v>0</v>
      </c>
      <c r="AH38" s="204" t="s">
        <v>298</v>
      </c>
      <c r="AI38" s="353">
        <v>1</v>
      </c>
      <c r="AJ38" s="353">
        <v>1</v>
      </c>
      <c r="AK38" s="353">
        <v>0</v>
      </c>
      <c r="AL38" s="353">
        <v>0</v>
      </c>
      <c r="AM38" s="353">
        <v>0</v>
      </c>
      <c r="AQ38" s="353">
        <v>0</v>
      </c>
      <c r="BC38" s="353">
        <v>0</v>
      </c>
      <c r="BD38" s="353">
        <v>0</v>
      </c>
      <c r="BF38" s="353">
        <v>0</v>
      </c>
      <c r="BG38" s="204" t="s">
        <v>1248</v>
      </c>
      <c r="BH38" s="204" t="s">
        <v>1248</v>
      </c>
      <c r="BJ38" s="204" t="s">
        <v>1301</v>
      </c>
      <c r="BK38" s="353">
        <v>2587</v>
      </c>
      <c r="BL38" s="353">
        <v>2</v>
      </c>
      <c r="BM38" s="353">
        <v>4</v>
      </c>
      <c r="BN38" s="353">
        <v>2</v>
      </c>
      <c r="BO38" s="353">
        <v>2</v>
      </c>
      <c r="BP38" s="353">
        <v>0</v>
      </c>
      <c r="BQ38" s="353">
        <v>646</v>
      </c>
      <c r="BR38" s="204" t="s">
        <v>1261</v>
      </c>
      <c r="BS38" s="204" t="s">
        <v>1248</v>
      </c>
      <c r="BT38" s="353">
        <v>2</v>
      </c>
      <c r="BU38" s="353">
        <v>5000</v>
      </c>
      <c r="BV38" s="204" t="s">
        <v>1248</v>
      </c>
      <c r="BW38" s="204" t="s">
        <v>1253</v>
      </c>
      <c r="BX38" s="204" t="s">
        <v>1248</v>
      </c>
      <c r="BY38" s="204" t="s">
        <v>1248</v>
      </c>
      <c r="BZ38" s="204" t="s">
        <v>1254</v>
      </c>
      <c r="CA38" s="353">
        <v>2587</v>
      </c>
      <c r="CB38" s="353">
        <v>301.97459456600001</v>
      </c>
      <c r="CC38" s="204" t="s">
        <v>517</v>
      </c>
      <c r="CD38" s="204" t="s">
        <v>300</v>
      </c>
      <c r="CE38" s="204" t="s">
        <v>301</v>
      </c>
      <c r="CF38" s="204" t="s">
        <v>448</v>
      </c>
      <c r="CG38" s="204" t="s">
        <v>1256</v>
      </c>
      <c r="CH38" s="204" t="s">
        <v>204</v>
      </c>
      <c r="CJ38" s="204" t="s">
        <v>302</v>
      </c>
      <c r="CK38" s="353">
        <v>-9999</v>
      </c>
      <c r="CM38" s="353">
        <v>1</v>
      </c>
      <c r="CN38" s="204" t="s">
        <v>1264</v>
      </c>
      <c r="CO38" s="353">
        <v>-9999</v>
      </c>
      <c r="CS38" s="353">
        <v>-9999</v>
      </c>
      <c r="CT38" s="353">
        <v>-9999</v>
      </c>
      <c r="CV38" s="204" t="s">
        <v>1336</v>
      </c>
      <c r="CW38" s="353">
        <v>1.36126319608E-5</v>
      </c>
      <c r="CX38" s="204">
        <v>409</v>
      </c>
      <c r="CY38" s="204">
        <v>0</v>
      </c>
      <c r="CZ38" s="204">
        <v>0</v>
      </c>
      <c r="DA38" s="204">
        <v>10</v>
      </c>
      <c r="DB38" s="353">
        <v>0</v>
      </c>
      <c r="DC38" s="353">
        <v>0</v>
      </c>
      <c r="DD38" s="204">
        <v>10</v>
      </c>
      <c r="DE38" s="353">
        <v>0</v>
      </c>
      <c r="DF38" s="353">
        <v>0</v>
      </c>
      <c r="DG38" s="353">
        <v>1.7718345864499999E-2</v>
      </c>
      <c r="DH38" s="353">
        <v>5032.5179358799996</v>
      </c>
    </row>
    <row r="39" spans="1:112">
      <c r="A39" s="204">
        <v>410</v>
      </c>
      <c r="B39" s="204">
        <v>1</v>
      </c>
      <c r="C39" s="204">
        <v>9419</v>
      </c>
      <c r="D39" s="204">
        <v>0</v>
      </c>
      <c r="E39" s="204">
        <v>410</v>
      </c>
      <c r="F39" s="204">
        <v>0</v>
      </c>
      <c r="G39" s="204">
        <v>410</v>
      </c>
      <c r="H39" s="204" t="s">
        <v>522</v>
      </c>
      <c r="I39" s="354">
        <v>37462</v>
      </c>
      <c r="J39" s="204" t="s">
        <v>522</v>
      </c>
      <c r="K39" s="204" t="s">
        <v>1332</v>
      </c>
      <c r="L39" s="204" t="s">
        <v>302</v>
      </c>
      <c r="M39" s="204" t="s">
        <v>523</v>
      </c>
      <c r="N39" s="353">
        <v>58</v>
      </c>
      <c r="O39" s="204" t="s">
        <v>1340</v>
      </c>
      <c r="P39" s="204" t="s">
        <v>524</v>
      </c>
      <c r="R39" s="204" t="s">
        <v>1248</v>
      </c>
      <c r="S39" s="353">
        <v>0</v>
      </c>
      <c r="T39" s="204" t="s">
        <v>336</v>
      </c>
      <c r="U39" s="204" t="s">
        <v>307</v>
      </c>
      <c r="W39" s="204" t="s">
        <v>525</v>
      </c>
      <c r="Z39" s="204" t="s">
        <v>309</v>
      </c>
      <c r="AA39" s="204" t="s">
        <v>310</v>
      </c>
      <c r="AB39" s="204" t="s">
        <v>1341</v>
      </c>
      <c r="AC39" s="204" t="s">
        <v>1250</v>
      </c>
      <c r="AD39" s="204" t="s">
        <v>1251</v>
      </c>
      <c r="AE39" s="353">
        <v>139900</v>
      </c>
      <c r="AF39" s="353">
        <v>340100</v>
      </c>
      <c r="AG39" s="353">
        <v>0</v>
      </c>
      <c r="AH39" s="204" t="s">
        <v>298</v>
      </c>
      <c r="AI39" s="353">
        <v>1</v>
      </c>
      <c r="AJ39" s="353">
        <v>1</v>
      </c>
      <c r="AK39" s="353">
        <v>0</v>
      </c>
      <c r="AL39" s="353">
        <v>0</v>
      </c>
      <c r="AM39" s="353">
        <v>0</v>
      </c>
      <c r="AQ39" s="353">
        <v>0</v>
      </c>
      <c r="BC39" s="353">
        <v>0</v>
      </c>
      <c r="BD39" s="353">
        <v>0</v>
      </c>
      <c r="BF39" s="353">
        <v>0</v>
      </c>
      <c r="BG39" s="204" t="s">
        <v>1248</v>
      </c>
      <c r="BH39" s="204" t="s">
        <v>1248</v>
      </c>
      <c r="BJ39" s="204" t="s">
        <v>1301</v>
      </c>
      <c r="BK39" s="353">
        <v>3430</v>
      </c>
      <c r="BL39" s="353">
        <v>2</v>
      </c>
      <c r="BM39" s="353">
        <v>4</v>
      </c>
      <c r="BN39" s="353">
        <v>0</v>
      </c>
      <c r="BO39" s="353">
        <v>4</v>
      </c>
      <c r="BP39" s="353">
        <v>0</v>
      </c>
      <c r="BQ39" s="353">
        <v>858</v>
      </c>
      <c r="BR39" s="204" t="s">
        <v>1248</v>
      </c>
      <c r="BS39" s="204" t="s">
        <v>1271</v>
      </c>
      <c r="BT39" s="353">
        <v>4</v>
      </c>
      <c r="BU39" s="353">
        <v>5000</v>
      </c>
      <c r="BV39" s="204" t="s">
        <v>1248</v>
      </c>
      <c r="BW39" s="204" t="s">
        <v>1253</v>
      </c>
      <c r="BX39" s="204" t="s">
        <v>1248</v>
      </c>
      <c r="BY39" s="204" t="s">
        <v>1248</v>
      </c>
      <c r="BZ39" s="204" t="s">
        <v>1342</v>
      </c>
      <c r="CA39" s="353">
        <v>3430</v>
      </c>
      <c r="CB39" s="353">
        <v>325.07201957799998</v>
      </c>
      <c r="CC39" s="204" t="s">
        <v>517</v>
      </c>
      <c r="CD39" s="204" t="s">
        <v>300</v>
      </c>
      <c r="CE39" s="204" t="s">
        <v>301</v>
      </c>
      <c r="CF39" s="204" t="s">
        <v>448</v>
      </c>
      <c r="CG39" s="204" t="s">
        <v>1256</v>
      </c>
      <c r="CH39" s="204" t="s">
        <v>204</v>
      </c>
      <c r="CJ39" s="204" t="s">
        <v>302</v>
      </c>
      <c r="CK39" s="353">
        <v>-9999</v>
      </c>
      <c r="CM39" s="353">
        <v>1</v>
      </c>
      <c r="CN39" s="204" t="s">
        <v>1264</v>
      </c>
      <c r="CO39" s="353">
        <v>-9999</v>
      </c>
      <c r="CS39" s="353">
        <v>-9999</v>
      </c>
      <c r="CT39" s="353">
        <v>-9999</v>
      </c>
      <c r="CV39" s="204" t="s">
        <v>1336</v>
      </c>
      <c r="CW39" s="353">
        <v>1.36126319608E-5</v>
      </c>
      <c r="CX39" s="204">
        <v>410</v>
      </c>
      <c r="CY39" s="204">
        <v>0</v>
      </c>
      <c r="CZ39" s="204">
        <v>0</v>
      </c>
      <c r="DA39" s="204">
        <v>10</v>
      </c>
      <c r="DB39" s="353">
        <v>0</v>
      </c>
      <c r="DC39" s="353">
        <v>0</v>
      </c>
      <c r="DD39" s="204">
        <v>10</v>
      </c>
      <c r="DE39" s="353">
        <v>0</v>
      </c>
      <c r="DF39" s="353">
        <v>0</v>
      </c>
      <c r="DG39" s="353">
        <v>1.7718345864499999E-2</v>
      </c>
      <c r="DH39" s="353">
        <v>6326.5155518199999</v>
      </c>
    </row>
    <row r="40" spans="1:112">
      <c r="A40" s="204">
        <v>411</v>
      </c>
      <c r="B40" s="204">
        <v>1</v>
      </c>
      <c r="C40" s="204">
        <v>9422</v>
      </c>
      <c r="D40" s="204">
        <v>0</v>
      </c>
      <c r="E40" s="204">
        <v>411</v>
      </c>
      <c r="F40" s="204">
        <v>0</v>
      </c>
      <c r="G40" s="204">
        <v>411</v>
      </c>
      <c r="H40" s="204" t="s">
        <v>439</v>
      </c>
      <c r="I40" s="354">
        <v>37462</v>
      </c>
      <c r="J40" s="204" t="s">
        <v>439</v>
      </c>
      <c r="K40" s="204" t="s">
        <v>1332</v>
      </c>
      <c r="L40" s="204" t="s">
        <v>1247</v>
      </c>
      <c r="M40" s="204" t="s">
        <v>440</v>
      </c>
      <c r="N40" s="353">
        <v>100</v>
      </c>
      <c r="P40" s="204" t="s">
        <v>441</v>
      </c>
      <c r="R40" s="204" t="s">
        <v>1248</v>
      </c>
      <c r="S40" s="353">
        <v>0</v>
      </c>
      <c r="T40" s="204" t="s">
        <v>341</v>
      </c>
      <c r="U40" s="204" t="s">
        <v>307</v>
      </c>
      <c r="W40" s="204" t="s">
        <v>442</v>
      </c>
      <c r="Z40" s="204" t="s">
        <v>309</v>
      </c>
      <c r="AA40" s="204" t="s">
        <v>310</v>
      </c>
      <c r="AB40" s="204" t="s">
        <v>1343</v>
      </c>
      <c r="AC40" s="204" t="s">
        <v>1278</v>
      </c>
      <c r="AD40" s="204" t="s">
        <v>384</v>
      </c>
      <c r="AE40" s="353">
        <v>71816</v>
      </c>
      <c r="AF40" s="353">
        <v>279142</v>
      </c>
      <c r="AG40" s="353">
        <v>0</v>
      </c>
      <c r="AH40" s="204" t="s">
        <v>423</v>
      </c>
      <c r="AI40" s="353">
        <v>1</v>
      </c>
      <c r="AJ40" s="353">
        <v>1</v>
      </c>
      <c r="AK40" s="353">
        <v>4</v>
      </c>
      <c r="AL40" s="353">
        <v>3</v>
      </c>
      <c r="AM40" s="353">
        <v>12</v>
      </c>
      <c r="AN40" s="204" t="s">
        <v>186</v>
      </c>
      <c r="AO40" s="204" t="s">
        <v>1261</v>
      </c>
      <c r="AP40" s="204" t="s">
        <v>1271</v>
      </c>
      <c r="AQ40" s="353">
        <v>4</v>
      </c>
      <c r="AR40" s="204" t="s">
        <v>1248</v>
      </c>
      <c r="AS40" s="204" t="s">
        <v>1248</v>
      </c>
      <c r="AT40" s="204" t="s">
        <v>186</v>
      </c>
      <c r="AU40" s="204" t="s">
        <v>1248</v>
      </c>
      <c r="AV40" s="204" t="s">
        <v>443</v>
      </c>
      <c r="AW40" s="204" t="s">
        <v>1248</v>
      </c>
      <c r="AX40" s="204" t="s">
        <v>1253</v>
      </c>
      <c r="AY40" s="204" t="s">
        <v>1248</v>
      </c>
      <c r="AZ40" s="204" t="s">
        <v>1248</v>
      </c>
      <c r="BA40" s="204" t="s">
        <v>1248</v>
      </c>
      <c r="BB40" s="204" t="s">
        <v>443</v>
      </c>
      <c r="BC40" s="353">
        <v>6050</v>
      </c>
      <c r="BD40" s="353">
        <v>2484</v>
      </c>
      <c r="BE40" s="204" t="s">
        <v>723</v>
      </c>
      <c r="BF40" s="353">
        <v>0</v>
      </c>
      <c r="BG40" s="204" t="s">
        <v>1248</v>
      </c>
      <c r="BH40" s="204" t="s">
        <v>1248</v>
      </c>
      <c r="BI40" s="204" t="s">
        <v>723</v>
      </c>
      <c r="BK40" s="353">
        <v>0</v>
      </c>
      <c r="BL40" s="353">
        <v>0</v>
      </c>
      <c r="BM40" s="353">
        <v>0</v>
      </c>
      <c r="BN40" s="353">
        <v>0</v>
      </c>
      <c r="BO40" s="353">
        <v>0</v>
      </c>
      <c r="BP40" s="353">
        <v>0</v>
      </c>
      <c r="BQ40" s="353">
        <v>0</v>
      </c>
      <c r="BT40" s="353">
        <v>0</v>
      </c>
      <c r="BU40" s="353">
        <v>0</v>
      </c>
      <c r="CA40" s="353">
        <v>0</v>
      </c>
      <c r="CB40" s="353">
        <v>321.091458176</v>
      </c>
      <c r="CC40" s="204" t="s">
        <v>425</v>
      </c>
      <c r="CD40" s="204" t="s">
        <v>300</v>
      </c>
      <c r="CE40" s="204" t="s">
        <v>301</v>
      </c>
      <c r="CF40" s="204" t="s">
        <v>448</v>
      </c>
      <c r="CG40" s="204" t="s">
        <v>1256</v>
      </c>
      <c r="CH40" s="204" t="s">
        <v>204</v>
      </c>
      <c r="CJ40" s="204" t="s">
        <v>302</v>
      </c>
      <c r="CK40" s="353">
        <v>-9999</v>
      </c>
      <c r="CM40" s="353">
        <v>1</v>
      </c>
      <c r="CN40" s="204" t="s">
        <v>1264</v>
      </c>
      <c r="CO40" s="353">
        <v>-9999</v>
      </c>
      <c r="CS40" s="353">
        <v>-9999</v>
      </c>
      <c r="CT40" s="353">
        <v>-9999</v>
      </c>
      <c r="CV40" s="204" t="s">
        <v>1336</v>
      </c>
      <c r="CW40" s="353">
        <v>1.36126319608E-5</v>
      </c>
      <c r="CX40" s="204">
        <v>411</v>
      </c>
      <c r="CY40" s="204">
        <v>0</v>
      </c>
      <c r="CZ40" s="204">
        <v>0</v>
      </c>
      <c r="DA40" s="204">
        <v>10</v>
      </c>
      <c r="DB40" s="353">
        <v>0</v>
      </c>
      <c r="DC40" s="353">
        <v>0</v>
      </c>
      <c r="DD40" s="204">
        <v>10</v>
      </c>
      <c r="DE40" s="353">
        <v>0</v>
      </c>
      <c r="DF40" s="353">
        <v>0</v>
      </c>
      <c r="DG40" s="353">
        <v>1.7718345864499999E-2</v>
      </c>
      <c r="DH40" s="353">
        <v>6052.60923482</v>
      </c>
    </row>
    <row r="41" spans="1:112">
      <c r="A41" s="204">
        <v>414</v>
      </c>
      <c r="B41" s="204">
        <v>1</v>
      </c>
      <c r="C41" s="204">
        <v>9434</v>
      </c>
      <c r="D41" s="204">
        <v>0</v>
      </c>
      <c r="E41" s="204">
        <v>414</v>
      </c>
      <c r="F41" s="204">
        <v>0</v>
      </c>
      <c r="G41" s="204">
        <v>414</v>
      </c>
      <c r="H41" s="204" t="s">
        <v>444</v>
      </c>
      <c r="I41" s="354">
        <v>37462</v>
      </c>
      <c r="J41" s="204" t="s">
        <v>444</v>
      </c>
      <c r="K41" s="204" t="s">
        <v>1332</v>
      </c>
      <c r="L41" s="204" t="s">
        <v>1271</v>
      </c>
      <c r="M41" s="204" t="s">
        <v>445</v>
      </c>
      <c r="N41" s="353">
        <v>100</v>
      </c>
      <c r="P41" s="204" t="s">
        <v>446</v>
      </c>
      <c r="R41" s="204" t="s">
        <v>1248</v>
      </c>
      <c r="S41" s="353">
        <v>0</v>
      </c>
      <c r="T41" s="204" t="s">
        <v>341</v>
      </c>
      <c r="U41" s="204" t="s">
        <v>307</v>
      </c>
      <c r="W41" s="204" t="s">
        <v>447</v>
      </c>
      <c r="Z41" s="204" t="s">
        <v>309</v>
      </c>
      <c r="AA41" s="204" t="s">
        <v>310</v>
      </c>
      <c r="AB41" s="204" t="s">
        <v>868</v>
      </c>
      <c r="AC41" s="204" t="s">
        <v>1278</v>
      </c>
      <c r="AD41" s="204" t="s">
        <v>384</v>
      </c>
      <c r="AE41" s="353">
        <v>138900</v>
      </c>
      <c r="AF41" s="353">
        <v>191100</v>
      </c>
      <c r="AG41" s="353">
        <v>0</v>
      </c>
      <c r="AH41" s="204" t="s">
        <v>423</v>
      </c>
      <c r="AI41" s="353">
        <v>1</v>
      </c>
      <c r="AJ41" s="353">
        <v>1</v>
      </c>
      <c r="AK41" s="353">
        <v>4</v>
      </c>
      <c r="AL41" s="353">
        <v>2</v>
      </c>
      <c r="AM41" s="353">
        <v>10</v>
      </c>
      <c r="AN41" s="204" t="s">
        <v>186</v>
      </c>
      <c r="AO41" s="204" t="s">
        <v>1261</v>
      </c>
      <c r="AP41" s="204" t="s">
        <v>1248</v>
      </c>
      <c r="AQ41" s="353">
        <v>2</v>
      </c>
      <c r="AR41" s="204" t="s">
        <v>1248</v>
      </c>
      <c r="AS41" s="204" t="s">
        <v>1248</v>
      </c>
      <c r="AT41" s="204" t="s">
        <v>186</v>
      </c>
      <c r="AU41" s="204" t="s">
        <v>1248</v>
      </c>
      <c r="AV41" s="204" t="s">
        <v>448</v>
      </c>
      <c r="AW41" s="204" t="s">
        <v>1248</v>
      </c>
      <c r="AX41" s="204" t="s">
        <v>1253</v>
      </c>
      <c r="AY41" s="204" t="s">
        <v>1248</v>
      </c>
      <c r="AZ41" s="204" t="s">
        <v>1296</v>
      </c>
      <c r="BA41" s="204" t="s">
        <v>1248</v>
      </c>
      <c r="BB41" s="204" t="s">
        <v>448</v>
      </c>
      <c r="BC41" s="353">
        <v>5000</v>
      </c>
      <c r="BD41" s="353">
        <v>1979</v>
      </c>
      <c r="BE41" s="204" t="s">
        <v>723</v>
      </c>
      <c r="BF41" s="353">
        <v>0</v>
      </c>
      <c r="BG41" s="204" t="s">
        <v>1248</v>
      </c>
      <c r="BH41" s="204" t="s">
        <v>1248</v>
      </c>
      <c r="BI41" s="204" t="s">
        <v>723</v>
      </c>
      <c r="BK41" s="353">
        <v>0</v>
      </c>
      <c r="BL41" s="353">
        <v>0</v>
      </c>
      <c r="BM41" s="353">
        <v>0</v>
      </c>
      <c r="BN41" s="353">
        <v>0</v>
      </c>
      <c r="BO41" s="353">
        <v>0</v>
      </c>
      <c r="BP41" s="353">
        <v>0</v>
      </c>
      <c r="BQ41" s="353">
        <v>0</v>
      </c>
      <c r="BT41" s="353">
        <v>0</v>
      </c>
      <c r="BU41" s="353">
        <v>0</v>
      </c>
      <c r="CA41" s="353">
        <v>0</v>
      </c>
      <c r="CB41" s="353">
        <v>297.87955879499998</v>
      </c>
      <c r="CC41" s="204" t="s">
        <v>425</v>
      </c>
      <c r="CD41" s="204" t="s">
        <v>300</v>
      </c>
      <c r="CE41" s="204" t="s">
        <v>301</v>
      </c>
      <c r="CF41" s="204" t="s">
        <v>448</v>
      </c>
      <c r="CG41" s="204" t="s">
        <v>1256</v>
      </c>
      <c r="CH41" s="204" t="s">
        <v>204</v>
      </c>
      <c r="CJ41" s="204" t="s">
        <v>302</v>
      </c>
      <c r="CK41" s="353">
        <v>-9999</v>
      </c>
      <c r="CM41" s="353">
        <v>1</v>
      </c>
      <c r="CN41" s="204" t="s">
        <v>1264</v>
      </c>
      <c r="CO41" s="353">
        <v>-9999</v>
      </c>
      <c r="CS41" s="353">
        <v>-9999</v>
      </c>
      <c r="CT41" s="353">
        <v>-9999</v>
      </c>
      <c r="CV41" s="204" t="s">
        <v>1336</v>
      </c>
      <c r="CW41" s="353">
        <v>1.36126319608E-5</v>
      </c>
      <c r="CX41" s="204">
        <v>414</v>
      </c>
      <c r="CY41" s="204">
        <v>0</v>
      </c>
      <c r="CZ41" s="204">
        <v>0</v>
      </c>
      <c r="DA41" s="204">
        <v>10</v>
      </c>
      <c r="DB41" s="353">
        <v>0</v>
      </c>
      <c r="DC41" s="353">
        <v>0</v>
      </c>
      <c r="DD41" s="204">
        <v>10</v>
      </c>
      <c r="DE41" s="353">
        <v>0</v>
      </c>
      <c r="DF41" s="353">
        <v>0</v>
      </c>
      <c r="DG41" s="353">
        <v>1.7718345864499999E-2</v>
      </c>
      <c r="DH41" s="353">
        <v>4924.7727876099998</v>
      </c>
    </row>
    <row r="42" spans="1:112">
      <c r="A42" s="204">
        <v>415</v>
      </c>
      <c r="B42" s="204">
        <v>1</v>
      </c>
      <c r="C42" s="204">
        <v>9435</v>
      </c>
      <c r="D42" s="204">
        <v>0</v>
      </c>
      <c r="E42" s="204">
        <v>415</v>
      </c>
      <c r="F42" s="204">
        <v>0</v>
      </c>
      <c r="G42" s="204">
        <v>415</v>
      </c>
      <c r="H42" s="204" t="s">
        <v>526</v>
      </c>
      <c r="I42" s="354">
        <v>37462</v>
      </c>
      <c r="J42" s="204" t="s">
        <v>526</v>
      </c>
      <c r="K42" s="204" t="s">
        <v>1332</v>
      </c>
      <c r="L42" s="204" t="s">
        <v>1288</v>
      </c>
      <c r="M42" s="204" t="s">
        <v>527</v>
      </c>
      <c r="N42" s="353">
        <v>100</v>
      </c>
      <c r="O42" s="204" t="s">
        <v>1344</v>
      </c>
      <c r="P42" s="204" t="s">
        <v>446</v>
      </c>
      <c r="R42" s="204" t="s">
        <v>1248</v>
      </c>
      <c r="S42" s="353">
        <v>0</v>
      </c>
      <c r="T42" s="204" t="s">
        <v>341</v>
      </c>
      <c r="U42" s="204" t="s">
        <v>307</v>
      </c>
      <c r="W42" s="204" t="s">
        <v>528</v>
      </c>
      <c r="Z42" s="204" t="s">
        <v>309</v>
      </c>
      <c r="AA42" s="204" t="s">
        <v>310</v>
      </c>
      <c r="AB42" s="204" t="s">
        <v>868</v>
      </c>
      <c r="AC42" s="204" t="s">
        <v>1250</v>
      </c>
      <c r="AD42" s="204" t="s">
        <v>1251</v>
      </c>
      <c r="AE42" s="353">
        <v>122917</v>
      </c>
      <c r="AF42" s="353">
        <v>344177</v>
      </c>
      <c r="AG42" s="353">
        <v>0</v>
      </c>
      <c r="AH42" s="204" t="s">
        <v>298</v>
      </c>
      <c r="AI42" s="353">
        <v>1</v>
      </c>
      <c r="AJ42" s="353">
        <v>1</v>
      </c>
      <c r="AK42" s="353">
        <v>0</v>
      </c>
      <c r="AL42" s="353">
        <v>0</v>
      </c>
      <c r="AM42" s="353">
        <v>0</v>
      </c>
      <c r="AQ42" s="353">
        <v>0</v>
      </c>
      <c r="BC42" s="353">
        <v>0</v>
      </c>
      <c r="BD42" s="353">
        <v>0</v>
      </c>
      <c r="BF42" s="353">
        <v>0</v>
      </c>
      <c r="BG42" s="204" t="s">
        <v>1248</v>
      </c>
      <c r="BH42" s="204" t="s">
        <v>1248</v>
      </c>
      <c r="BJ42" s="204" t="s">
        <v>1301</v>
      </c>
      <c r="BK42" s="353">
        <v>3328</v>
      </c>
      <c r="BL42" s="353">
        <v>2</v>
      </c>
      <c r="BM42" s="353">
        <v>4</v>
      </c>
      <c r="BN42" s="353">
        <v>4</v>
      </c>
      <c r="BO42" s="353">
        <v>0</v>
      </c>
      <c r="BP42" s="353">
        <v>0</v>
      </c>
      <c r="BQ42" s="353">
        <v>832</v>
      </c>
      <c r="BR42" s="204" t="s">
        <v>1261</v>
      </c>
      <c r="BS42" s="204" t="s">
        <v>1248</v>
      </c>
      <c r="BT42" s="353">
        <v>4</v>
      </c>
      <c r="BU42" s="353">
        <v>5000</v>
      </c>
      <c r="BV42" s="204" t="s">
        <v>1248</v>
      </c>
      <c r="BW42" s="204" t="s">
        <v>1253</v>
      </c>
      <c r="BX42" s="204" t="s">
        <v>1248</v>
      </c>
      <c r="BY42" s="204" t="s">
        <v>1248</v>
      </c>
      <c r="CA42" s="353">
        <v>3328</v>
      </c>
      <c r="CB42" s="353">
        <v>301.08001861399998</v>
      </c>
      <c r="CC42" s="204" t="s">
        <v>517</v>
      </c>
      <c r="CD42" s="204" t="s">
        <v>300</v>
      </c>
      <c r="CE42" s="204" t="s">
        <v>301</v>
      </c>
      <c r="CF42" s="204" t="s">
        <v>448</v>
      </c>
      <c r="CG42" s="204" t="s">
        <v>1256</v>
      </c>
      <c r="CH42" s="204" t="s">
        <v>204</v>
      </c>
      <c r="CJ42" s="204" t="s">
        <v>302</v>
      </c>
      <c r="CK42" s="353">
        <v>-9999</v>
      </c>
      <c r="CM42" s="353">
        <v>1</v>
      </c>
      <c r="CN42" s="204" t="s">
        <v>1264</v>
      </c>
      <c r="CO42" s="353">
        <v>-9999</v>
      </c>
      <c r="CS42" s="353">
        <v>-9999</v>
      </c>
      <c r="CT42" s="353">
        <v>-9999</v>
      </c>
      <c r="CV42" s="204" t="s">
        <v>1336</v>
      </c>
      <c r="CW42" s="353">
        <v>1.36126319608E-5</v>
      </c>
      <c r="CX42" s="204">
        <v>415</v>
      </c>
      <c r="CY42" s="204">
        <v>0</v>
      </c>
      <c r="CZ42" s="204">
        <v>0</v>
      </c>
      <c r="DA42" s="204">
        <v>10</v>
      </c>
      <c r="DB42" s="353">
        <v>0</v>
      </c>
      <c r="DC42" s="353">
        <v>0</v>
      </c>
      <c r="DD42" s="204">
        <v>10</v>
      </c>
      <c r="DE42" s="353">
        <v>0</v>
      </c>
      <c r="DF42" s="353">
        <v>0</v>
      </c>
      <c r="DG42" s="353">
        <v>1.7718345864499999E-2</v>
      </c>
      <c r="DH42" s="353">
        <v>5079.36731289</v>
      </c>
    </row>
    <row r="43" spans="1:112">
      <c r="A43" s="204">
        <v>416</v>
      </c>
      <c r="B43" s="204">
        <v>1</v>
      </c>
      <c r="C43" s="204">
        <v>9437</v>
      </c>
      <c r="D43" s="204">
        <v>0</v>
      </c>
      <c r="E43" s="204">
        <v>416</v>
      </c>
      <c r="F43" s="204">
        <v>0</v>
      </c>
      <c r="G43" s="204">
        <v>416</v>
      </c>
      <c r="H43" s="204" t="s">
        <v>449</v>
      </c>
      <c r="I43" s="354">
        <v>37462</v>
      </c>
      <c r="J43" s="204" t="s">
        <v>449</v>
      </c>
      <c r="K43" s="204" t="s">
        <v>1332</v>
      </c>
      <c r="L43" s="204" t="s">
        <v>1247</v>
      </c>
      <c r="M43" s="204" t="s">
        <v>450</v>
      </c>
      <c r="N43" s="353">
        <v>100</v>
      </c>
      <c r="P43" s="204" t="s">
        <v>451</v>
      </c>
      <c r="R43" s="204" t="s">
        <v>1248</v>
      </c>
      <c r="S43" s="353">
        <v>0</v>
      </c>
      <c r="T43" s="204" t="s">
        <v>376</v>
      </c>
      <c r="U43" s="204" t="s">
        <v>307</v>
      </c>
      <c r="W43" s="204" t="s">
        <v>452</v>
      </c>
      <c r="X43" s="204" t="s">
        <v>1345</v>
      </c>
      <c r="Z43" s="204" t="s">
        <v>309</v>
      </c>
      <c r="AA43" s="204" t="s">
        <v>310</v>
      </c>
      <c r="AB43" s="204" t="s">
        <v>1346</v>
      </c>
      <c r="AC43" s="204" t="s">
        <v>1278</v>
      </c>
      <c r="AD43" s="204" t="s">
        <v>384</v>
      </c>
      <c r="AE43" s="353">
        <v>228800</v>
      </c>
      <c r="AF43" s="353">
        <v>121200</v>
      </c>
      <c r="AG43" s="353">
        <v>0</v>
      </c>
      <c r="AH43" s="204" t="s">
        <v>423</v>
      </c>
      <c r="AI43" s="353">
        <v>1</v>
      </c>
      <c r="AJ43" s="353">
        <v>1</v>
      </c>
      <c r="AK43" s="353">
        <v>4</v>
      </c>
      <c r="AL43" s="353">
        <v>2</v>
      </c>
      <c r="AM43" s="353">
        <v>10</v>
      </c>
      <c r="AN43" s="204" t="s">
        <v>186</v>
      </c>
      <c r="AO43" s="204" t="s">
        <v>1261</v>
      </c>
      <c r="AP43" s="204" t="s">
        <v>1248</v>
      </c>
      <c r="AQ43" s="353">
        <v>2</v>
      </c>
      <c r="AR43" s="204" t="s">
        <v>1248</v>
      </c>
      <c r="AS43" s="204" t="s">
        <v>1248</v>
      </c>
      <c r="AT43" s="204" t="s">
        <v>1248</v>
      </c>
      <c r="AU43" s="204" t="s">
        <v>1248</v>
      </c>
      <c r="AV43" s="204" t="s">
        <v>453</v>
      </c>
      <c r="AW43" s="204" t="s">
        <v>1248</v>
      </c>
      <c r="AX43" s="204" t="s">
        <v>1253</v>
      </c>
      <c r="AY43" s="204" t="s">
        <v>1248</v>
      </c>
      <c r="AZ43" s="204" t="s">
        <v>1248</v>
      </c>
      <c r="BA43" s="204" t="s">
        <v>1248</v>
      </c>
      <c r="BB43" s="204" t="s">
        <v>1311</v>
      </c>
      <c r="BC43" s="353">
        <v>5000</v>
      </c>
      <c r="BD43" s="353">
        <v>1972</v>
      </c>
      <c r="BE43" s="204" t="s">
        <v>723</v>
      </c>
      <c r="BF43" s="353">
        <v>0</v>
      </c>
      <c r="BG43" s="204" t="s">
        <v>1248</v>
      </c>
      <c r="BH43" s="204" t="s">
        <v>1248</v>
      </c>
      <c r="BI43" s="204" t="s">
        <v>723</v>
      </c>
      <c r="BK43" s="353">
        <v>0</v>
      </c>
      <c r="BL43" s="353">
        <v>0</v>
      </c>
      <c r="BM43" s="353">
        <v>0</v>
      </c>
      <c r="BN43" s="353">
        <v>0</v>
      </c>
      <c r="BO43" s="353">
        <v>0</v>
      </c>
      <c r="BP43" s="353">
        <v>0</v>
      </c>
      <c r="BQ43" s="353">
        <v>0</v>
      </c>
      <c r="BT43" s="353">
        <v>0</v>
      </c>
      <c r="BU43" s="353">
        <v>0</v>
      </c>
      <c r="CA43" s="353">
        <v>0</v>
      </c>
      <c r="CB43" s="353">
        <v>299.45025853300001</v>
      </c>
      <c r="CC43" s="204" t="s">
        <v>425</v>
      </c>
      <c r="CD43" s="204" t="s">
        <v>300</v>
      </c>
      <c r="CE43" s="204" t="s">
        <v>301</v>
      </c>
      <c r="CF43" s="204" t="s">
        <v>448</v>
      </c>
      <c r="CG43" s="204" t="s">
        <v>1256</v>
      </c>
      <c r="CH43" s="204" t="s">
        <v>204</v>
      </c>
      <c r="CJ43" s="204" t="s">
        <v>302</v>
      </c>
      <c r="CK43" s="353">
        <v>-9999</v>
      </c>
      <c r="CM43" s="353">
        <v>1</v>
      </c>
      <c r="CN43" s="204" t="s">
        <v>1264</v>
      </c>
      <c r="CO43" s="353">
        <v>-9999</v>
      </c>
      <c r="CS43" s="353">
        <v>-9999</v>
      </c>
      <c r="CT43" s="353">
        <v>-9999</v>
      </c>
      <c r="CV43" s="204" t="s">
        <v>1336</v>
      </c>
      <c r="CW43" s="353">
        <v>1.36126319608E-5</v>
      </c>
      <c r="CX43" s="204">
        <v>416</v>
      </c>
      <c r="CY43" s="204">
        <v>0</v>
      </c>
      <c r="CZ43" s="204">
        <v>0</v>
      </c>
      <c r="DA43" s="204">
        <v>10</v>
      </c>
      <c r="DB43" s="353">
        <v>0</v>
      </c>
      <c r="DC43" s="353">
        <v>0</v>
      </c>
      <c r="DD43" s="204">
        <v>10</v>
      </c>
      <c r="DE43" s="353">
        <v>0</v>
      </c>
      <c r="DF43" s="353">
        <v>0</v>
      </c>
      <c r="DG43" s="353">
        <v>1.7718345864499999E-2</v>
      </c>
      <c r="DH43" s="353">
        <v>4970.6626908500002</v>
      </c>
    </row>
    <row r="44" spans="1:112">
      <c r="A44" s="204">
        <v>417</v>
      </c>
      <c r="B44" s="204">
        <v>1</v>
      </c>
      <c r="C44" s="204">
        <v>9438</v>
      </c>
      <c r="D44" s="204">
        <v>0</v>
      </c>
      <c r="E44" s="204">
        <v>417</v>
      </c>
      <c r="F44" s="204">
        <v>0</v>
      </c>
      <c r="G44" s="204">
        <v>417</v>
      </c>
      <c r="H44" s="204" t="s">
        <v>529</v>
      </c>
      <c r="I44" s="354">
        <v>37462</v>
      </c>
      <c r="J44" s="204" t="s">
        <v>529</v>
      </c>
      <c r="K44" s="204" t="s">
        <v>1332</v>
      </c>
      <c r="L44" s="204" t="s">
        <v>1247</v>
      </c>
      <c r="M44" s="204" t="s">
        <v>530</v>
      </c>
      <c r="N44" s="353">
        <v>100</v>
      </c>
      <c r="P44" s="204" t="s">
        <v>531</v>
      </c>
      <c r="R44" s="204" t="s">
        <v>1248</v>
      </c>
      <c r="S44" s="353">
        <v>0</v>
      </c>
      <c r="T44" s="204" t="s">
        <v>341</v>
      </c>
      <c r="U44" s="204" t="s">
        <v>307</v>
      </c>
      <c r="W44" s="204" t="s">
        <v>473</v>
      </c>
      <c r="X44" s="204" t="s">
        <v>1347</v>
      </c>
      <c r="Z44" s="204" t="s">
        <v>309</v>
      </c>
      <c r="AA44" s="204" t="s">
        <v>310</v>
      </c>
      <c r="AB44" s="204" t="s">
        <v>1348</v>
      </c>
      <c r="AC44" s="204" t="s">
        <v>1250</v>
      </c>
      <c r="AD44" s="204" t="s">
        <v>1251</v>
      </c>
      <c r="AE44" s="353">
        <v>63938</v>
      </c>
      <c r="AF44" s="353">
        <v>112535</v>
      </c>
      <c r="AG44" s="353">
        <v>0</v>
      </c>
      <c r="AH44" s="204" t="s">
        <v>298</v>
      </c>
      <c r="AI44" s="353">
        <v>1</v>
      </c>
      <c r="AJ44" s="353">
        <v>1</v>
      </c>
      <c r="AK44" s="353">
        <v>0</v>
      </c>
      <c r="AL44" s="353">
        <v>0</v>
      </c>
      <c r="AM44" s="353">
        <v>0</v>
      </c>
      <c r="AQ44" s="353">
        <v>0</v>
      </c>
      <c r="BC44" s="353">
        <v>0</v>
      </c>
      <c r="BD44" s="353">
        <v>0</v>
      </c>
      <c r="BF44" s="353">
        <v>0</v>
      </c>
      <c r="BG44" s="204" t="s">
        <v>1248</v>
      </c>
      <c r="BH44" s="204" t="s">
        <v>1248</v>
      </c>
      <c r="BJ44" s="204" t="s">
        <v>1301</v>
      </c>
      <c r="BK44" s="353">
        <v>3272</v>
      </c>
      <c r="BL44" s="353">
        <v>2</v>
      </c>
      <c r="BM44" s="353">
        <v>4</v>
      </c>
      <c r="BN44" s="353">
        <v>4</v>
      </c>
      <c r="BO44" s="353">
        <v>0</v>
      </c>
      <c r="BP44" s="353">
        <v>0</v>
      </c>
      <c r="BQ44" s="353">
        <v>818</v>
      </c>
      <c r="BR44" s="204" t="s">
        <v>1248</v>
      </c>
      <c r="BS44" s="204" t="s">
        <v>1248</v>
      </c>
      <c r="BT44" s="353">
        <v>0</v>
      </c>
      <c r="BU44" s="353">
        <v>6000</v>
      </c>
      <c r="BV44" s="204" t="s">
        <v>1248</v>
      </c>
      <c r="BW44" s="204" t="s">
        <v>1253</v>
      </c>
      <c r="BX44" s="204" t="s">
        <v>1248</v>
      </c>
      <c r="BY44" s="204" t="s">
        <v>1248</v>
      </c>
      <c r="BZ44" s="204" t="s">
        <v>1254</v>
      </c>
      <c r="CA44" s="353">
        <v>3272</v>
      </c>
      <c r="CB44" s="353">
        <v>321.38291176000001</v>
      </c>
      <c r="CC44" s="204" t="s">
        <v>517</v>
      </c>
      <c r="CD44" s="204" t="s">
        <v>300</v>
      </c>
      <c r="CE44" s="204" t="s">
        <v>301</v>
      </c>
      <c r="CF44" s="204" t="s">
        <v>448</v>
      </c>
      <c r="CG44" s="204" t="s">
        <v>1256</v>
      </c>
      <c r="CH44" s="204" t="s">
        <v>204</v>
      </c>
      <c r="CJ44" s="204" t="s">
        <v>302</v>
      </c>
      <c r="CK44" s="353">
        <v>-9999</v>
      </c>
      <c r="CM44" s="353">
        <v>1</v>
      </c>
      <c r="CN44" s="204" t="s">
        <v>1264</v>
      </c>
      <c r="CO44" s="353">
        <v>-9999</v>
      </c>
      <c r="CS44" s="353">
        <v>-9999</v>
      </c>
      <c r="CT44" s="353">
        <v>-9999</v>
      </c>
      <c r="CV44" s="204" t="s">
        <v>1336</v>
      </c>
      <c r="CW44" s="353">
        <v>1.36126319608E-5</v>
      </c>
      <c r="CX44" s="204">
        <v>417</v>
      </c>
      <c r="CY44" s="204">
        <v>0</v>
      </c>
      <c r="CZ44" s="204">
        <v>0</v>
      </c>
      <c r="DA44" s="204">
        <v>10</v>
      </c>
      <c r="DB44" s="353">
        <v>0</v>
      </c>
      <c r="DC44" s="353">
        <v>0</v>
      </c>
      <c r="DD44" s="204">
        <v>10</v>
      </c>
      <c r="DE44" s="353">
        <v>0</v>
      </c>
      <c r="DF44" s="353">
        <v>0</v>
      </c>
      <c r="DG44" s="353">
        <v>1.7718345864499999E-2</v>
      </c>
      <c r="DH44" s="353">
        <v>6099.01656413</v>
      </c>
    </row>
    <row r="45" spans="1:112">
      <c r="A45" s="204">
        <v>418</v>
      </c>
      <c r="B45" s="204">
        <v>1</v>
      </c>
      <c r="C45" s="204">
        <v>9442</v>
      </c>
      <c r="D45" s="204">
        <v>0</v>
      </c>
      <c r="E45" s="204">
        <v>418</v>
      </c>
      <c r="F45" s="204">
        <v>0</v>
      </c>
      <c r="G45" s="204">
        <v>418</v>
      </c>
      <c r="H45" s="204" t="s">
        <v>499</v>
      </c>
      <c r="I45" s="354">
        <v>37462</v>
      </c>
      <c r="J45" s="204" t="s">
        <v>499</v>
      </c>
      <c r="K45" s="204" t="s">
        <v>1332</v>
      </c>
      <c r="L45" s="204" t="s">
        <v>1247</v>
      </c>
      <c r="M45" s="204" t="s">
        <v>500</v>
      </c>
      <c r="N45" s="353">
        <v>100</v>
      </c>
      <c r="O45" s="204" t="s">
        <v>1349</v>
      </c>
      <c r="P45" s="204" t="s">
        <v>501</v>
      </c>
      <c r="R45" s="204" t="s">
        <v>1248</v>
      </c>
      <c r="S45" s="353">
        <v>0</v>
      </c>
      <c r="T45" s="204" t="s">
        <v>341</v>
      </c>
      <c r="U45" s="204" t="s">
        <v>307</v>
      </c>
      <c r="W45" s="204" t="s">
        <v>502</v>
      </c>
      <c r="Z45" s="204" t="s">
        <v>309</v>
      </c>
      <c r="AA45" s="204" t="s">
        <v>310</v>
      </c>
      <c r="AB45" s="204" t="s">
        <v>1350</v>
      </c>
      <c r="AC45" s="204" t="s">
        <v>741</v>
      </c>
      <c r="AD45" s="204" t="s">
        <v>1251</v>
      </c>
      <c r="AE45" s="353">
        <v>119900</v>
      </c>
      <c r="AF45" s="353">
        <v>240100</v>
      </c>
      <c r="AG45" s="353">
        <v>0</v>
      </c>
      <c r="AH45" s="204" t="s">
        <v>298</v>
      </c>
      <c r="AI45" s="353">
        <v>1</v>
      </c>
      <c r="AJ45" s="353">
        <v>1</v>
      </c>
      <c r="AK45" s="353">
        <v>0</v>
      </c>
      <c r="AL45" s="353">
        <v>0</v>
      </c>
      <c r="AM45" s="353">
        <v>0</v>
      </c>
      <c r="AQ45" s="353">
        <v>0</v>
      </c>
      <c r="BC45" s="353">
        <v>0</v>
      </c>
      <c r="BD45" s="353">
        <v>0</v>
      </c>
      <c r="BF45" s="353">
        <v>0</v>
      </c>
      <c r="BG45" s="204" t="s">
        <v>1248</v>
      </c>
      <c r="BH45" s="204" t="s">
        <v>1248</v>
      </c>
      <c r="BJ45" s="204" t="s">
        <v>1321</v>
      </c>
      <c r="BK45" s="353">
        <v>2274</v>
      </c>
      <c r="BL45" s="353">
        <v>2</v>
      </c>
      <c r="BM45" s="353">
        <v>3</v>
      </c>
      <c r="BN45" s="353">
        <v>2</v>
      </c>
      <c r="BO45" s="353">
        <v>1</v>
      </c>
      <c r="BP45" s="353">
        <v>0</v>
      </c>
      <c r="BQ45" s="353">
        <v>758</v>
      </c>
      <c r="BR45" s="204" t="s">
        <v>1248</v>
      </c>
      <c r="BS45" s="204" t="s">
        <v>1248</v>
      </c>
      <c r="BT45" s="353">
        <v>0</v>
      </c>
      <c r="BU45" s="353">
        <v>3000</v>
      </c>
      <c r="BV45" s="204" t="s">
        <v>1248</v>
      </c>
      <c r="BW45" s="204" t="s">
        <v>1253</v>
      </c>
      <c r="BX45" s="204" t="s">
        <v>1248</v>
      </c>
      <c r="BY45" s="204" t="s">
        <v>1248</v>
      </c>
      <c r="BZ45" s="204" t="s">
        <v>1128</v>
      </c>
      <c r="CA45" s="353">
        <v>2274</v>
      </c>
      <c r="CB45" s="353">
        <v>220.92652591300001</v>
      </c>
      <c r="CC45" s="204" t="s">
        <v>503</v>
      </c>
      <c r="CD45" s="204" t="s">
        <v>300</v>
      </c>
      <c r="CE45" s="204" t="s">
        <v>301</v>
      </c>
      <c r="CF45" s="204" t="s">
        <v>1351</v>
      </c>
      <c r="CG45" s="204" t="s">
        <v>1256</v>
      </c>
      <c r="CH45" s="204" t="s">
        <v>204</v>
      </c>
      <c r="CJ45" s="204" t="s">
        <v>302</v>
      </c>
      <c r="CK45" s="353">
        <v>-9999</v>
      </c>
      <c r="CM45" s="353">
        <v>3</v>
      </c>
      <c r="CN45" s="204" t="s">
        <v>1264</v>
      </c>
      <c r="CO45" s="353">
        <v>-9999</v>
      </c>
      <c r="CS45" s="353">
        <v>-9999</v>
      </c>
      <c r="CT45" s="353">
        <v>-9999</v>
      </c>
      <c r="CV45" s="204" t="s">
        <v>1336</v>
      </c>
      <c r="CW45" s="353">
        <v>7.7345308171899998E-5</v>
      </c>
      <c r="CX45" s="204">
        <v>418</v>
      </c>
      <c r="CY45" s="204">
        <v>0</v>
      </c>
      <c r="CZ45" s="204">
        <v>0</v>
      </c>
      <c r="DA45" s="204">
        <v>10</v>
      </c>
      <c r="DB45" s="353">
        <v>0</v>
      </c>
      <c r="DC45" s="353">
        <v>0</v>
      </c>
      <c r="DD45" s="204">
        <v>10</v>
      </c>
      <c r="DE45" s="353">
        <v>0</v>
      </c>
      <c r="DF45" s="353">
        <v>0</v>
      </c>
      <c r="DG45" s="353">
        <v>7.0456173102999994E-2</v>
      </c>
      <c r="DH45" s="353">
        <v>3032.48449936</v>
      </c>
    </row>
    <row r="46" spans="1:112">
      <c r="A46" s="204">
        <v>419</v>
      </c>
      <c r="B46" s="204">
        <v>2</v>
      </c>
      <c r="C46" s="204">
        <v>9446</v>
      </c>
      <c r="D46" s="204">
        <v>0</v>
      </c>
      <c r="E46" s="204">
        <v>419</v>
      </c>
      <c r="F46" s="204">
        <v>0</v>
      </c>
      <c r="G46" s="204">
        <v>419</v>
      </c>
      <c r="H46" s="204" t="s">
        <v>390</v>
      </c>
      <c r="I46" s="354">
        <v>37462</v>
      </c>
      <c r="J46" s="204" t="s">
        <v>390</v>
      </c>
      <c r="K46" s="204" t="s">
        <v>1332</v>
      </c>
      <c r="L46" s="204" t="s">
        <v>1247</v>
      </c>
      <c r="M46" s="204" t="s">
        <v>391</v>
      </c>
      <c r="N46" s="353">
        <v>100</v>
      </c>
      <c r="P46" s="204" t="s">
        <v>331</v>
      </c>
      <c r="R46" s="204" t="s">
        <v>1248</v>
      </c>
      <c r="S46" s="353">
        <v>0</v>
      </c>
      <c r="T46" s="204" t="s">
        <v>306</v>
      </c>
      <c r="U46" s="204" t="s">
        <v>307</v>
      </c>
      <c r="W46" s="204" t="s">
        <v>392</v>
      </c>
      <c r="Z46" s="204" t="s">
        <v>309</v>
      </c>
      <c r="AA46" s="204" t="s">
        <v>310</v>
      </c>
      <c r="AB46" s="204" t="s">
        <v>1352</v>
      </c>
      <c r="AC46" s="204" t="s">
        <v>1286</v>
      </c>
      <c r="AD46" s="204" t="s">
        <v>1251</v>
      </c>
      <c r="AE46" s="353">
        <v>315897</v>
      </c>
      <c r="AF46" s="353">
        <v>737094</v>
      </c>
      <c r="AG46" s="353">
        <v>0</v>
      </c>
      <c r="AH46" s="204" t="s">
        <v>298</v>
      </c>
      <c r="AI46" s="353">
        <v>1</v>
      </c>
      <c r="AJ46" s="353">
        <v>1</v>
      </c>
      <c r="AK46" s="353">
        <v>0</v>
      </c>
      <c r="AL46" s="353">
        <v>0</v>
      </c>
      <c r="AM46" s="353">
        <v>0</v>
      </c>
      <c r="AQ46" s="353">
        <v>0</v>
      </c>
      <c r="BC46" s="353">
        <v>0</v>
      </c>
      <c r="BD46" s="353">
        <v>0</v>
      </c>
      <c r="BF46" s="353">
        <v>0</v>
      </c>
      <c r="BG46" s="204" t="s">
        <v>1248</v>
      </c>
      <c r="BH46" s="204" t="s">
        <v>1248</v>
      </c>
      <c r="BJ46" s="204" t="s">
        <v>1260</v>
      </c>
      <c r="BK46" s="353">
        <v>4395</v>
      </c>
      <c r="BL46" s="353">
        <v>2</v>
      </c>
      <c r="BM46" s="353">
        <v>16</v>
      </c>
      <c r="BN46" s="353">
        <v>22</v>
      </c>
      <c r="BO46" s="353">
        <v>0</v>
      </c>
      <c r="BP46" s="353">
        <v>0</v>
      </c>
      <c r="BQ46" s="353">
        <v>0</v>
      </c>
      <c r="BR46" s="204" t="s">
        <v>1248</v>
      </c>
      <c r="BS46" s="204" t="s">
        <v>1248</v>
      </c>
      <c r="BT46" s="353">
        <v>0</v>
      </c>
      <c r="BU46" s="353">
        <v>8267</v>
      </c>
      <c r="BV46" s="204" t="s">
        <v>1248</v>
      </c>
      <c r="BW46" s="204" t="s">
        <v>1253</v>
      </c>
      <c r="BX46" s="204" t="s">
        <v>1248</v>
      </c>
      <c r="BY46" s="204" t="s">
        <v>1248</v>
      </c>
      <c r="BZ46" s="204" t="s">
        <v>1353</v>
      </c>
      <c r="CA46" s="353">
        <v>4395</v>
      </c>
      <c r="CB46" s="353">
        <v>382.96068469300002</v>
      </c>
      <c r="CC46" s="204" t="s">
        <v>393</v>
      </c>
      <c r="CD46" s="204" t="s">
        <v>300</v>
      </c>
      <c r="CE46" s="204" t="s">
        <v>301</v>
      </c>
      <c r="CF46" s="204" t="s">
        <v>448</v>
      </c>
      <c r="CG46" s="204" t="s">
        <v>1256</v>
      </c>
      <c r="CH46" s="204" t="s">
        <v>204</v>
      </c>
      <c r="CJ46" s="204" t="s">
        <v>302</v>
      </c>
      <c r="CK46" s="353">
        <v>-9999</v>
      </c>
      <c r="CM46" s="353">
        <v>1</v>
      </c>
      <c r="CN46" s="204" t="s">
        <v>1264</v>
      </c>
      <c r="CO46" s="353">
        <v>-9999</v>
      </c>
      <c r="CS46" s="353">
        <v>-9999</v>
      </c>
      <c r="CT46" s="353">
        <v>-9999</v>
      </c>
      <c r="CV46" s="204" t="s">
        <v>1336</v>
      </c>
      <c r="CW46" s="353">
        <v>1.36126319608E-5</v>
      </c>
      <c r="CX46" s="204">
        <v>419</v>
      </c>
      <c r="CY46" s="204">
        <v>0</v>
      </c>
      <c r="CZ46" s="204">
        <v>0</v>
      </c>
      <c r="DA46" s="204">
        <v>10</v>
      </c>
      <c r="DB46" s="353">
        <v>0</v>
      </c>
      <c r="DC46" s="353">
        <v>0</v>
      </c>
      <c r="DD46" s="204">
        <v>10</v>
      </c>
      <c r="DE46" s="353">
        <v>0</v>
      </c>
      <c r="DF46" s="353">
        <v>0</v>
      </c>
      <c r="DG46" s="353">
        <v>1.7718345864499999E-2</v>
      </c>
      <c r="DH46" s="353">
        <v>8360.3769710899996</v>
      </c>
    </row>
    <row r="47" spans="1:112">
      <c r="A47" s="204">
        <v>420</v>
      </c>
      <c r="B47" s="204">
        <v>2</v>
      </c>
      <c r="C47" s="204">
        <v>9447</v>
      </c>
      <c r="D47" s="204">
        <v>0</v>
      </c>
      <c r="E47" s="204">
        <v>420</v>
      </c>
      <c r="F47" s="204">
        <v>0</v>
      </c>
      <c r="G47" s="204">
        <v>420</v>
      </c>
      <c r="H47" s="204" t="s">
        <v>325</v>
      </c>
      <c r="I47" s="354">
        <v>37462</v>
      </c>
      <c r="J47" s="204" t="s">
        <v>325</v>
      </c>
      <c r="K47" s="204" t="s">
        <v>1332</v>
      </c>
      <c r="L47" s="204" t="s">
        <v>302</v>
      </c>
      <c r="M47" s="204" t="s">
        <v>326</v>
      </c>
      <c r="N47" s="353">
        <v>50</v>
      </c>
      <c r="O47" s="204" t="s">
        <v>1354</v>
      </c>
      <c r="P47" s="204" t="s">
        <v>327</v>
      </c>
      <c r="R47" s="204" t="s">
        <v>1248</v>
      </c>
      <c r="S47" s="353">
        <v>0</v>
      </c>
      <c r="T47" s="204" t="s">
        <v>306</v>
      </c>
      <c r="U47" s="204" t="s">
        <v>307</v>
      </c>
      <c r="W47" s="204" t="s">
        <v>328</v>
      </c>
      <c r="Z47" s="204" t="s">
        <v>309</v>
      </c>
      <c r="AA47" s="204" t="s">
        <v>310</v>
      </c>
      <c r="AB47" s="204" t="s">
        <v>1355</v>
      </c>
      <c r="AC47" s="204" t="s">
        <v>1259</v>
      </c>
      <c r="AD47" s="204" t="s">
        <v>1251</v>
      </c>
      <c r="AE47" s="353">
        <v>70234</v>
      </c>
      <c r="AF47" s="353">
        <v>157866</v>
      </c>
      <c r="AG47" s="353">
        <v>0</v>
      </c>
      <c r="AH47" s="204" t="s">
        <v>298</v>
      </c>
      <c r="AI47" s="353">
        <v>1</v>
      </c>
      <c r="AJ47" s="353">
        <v>1</v>
      </c>
      <c r="AK47" s="353">
        <v>0</v>
      </c>
      <c r="AL47" s="353">
        <v>0</v>
      </c>
      <c r="AM47" s="353">
        <v>0</v>
      </c>
      <c r="AQ47" s="353">
        <v>0</v>
      </c>
      <c r="BC47" s="353">
        <v>0</v>
      </c>
      <c r="BD47" s="353">
        <v>0</v>
      </c>
      <c r="BF47" s="353">
        <v>0</v>
      </c>
      <c r="BG47" s="204" t="s">
        <v>1248</v>
      </c>
      <c r="BH47" s="204" t="s">
        <v>1248</v>
      </c>
      <c r="BJ47" s="204" t="s">
        <v>1270</v>
      </c>
      <c r="BK47" s="353">
        <v>4518</v>
      </c>
      <c r="BL47" s="353">
        <v>2</v>
      </c>
      <c r="BM47" s="353">
        <v>6</v>
      </c>
      <c r="BN47" s="353">
        <v>0</v>
      </c>
      <c r="BO47" s="353">
        <v>6</v>
      </c>
      <c r="BP47" s="353">
        <v>0</v>
      </c>
      <c r="BQ47" s="353">
        <v>753</v>
      </c>
      <c r="BR47" s="204" t="s">
        <v>1248</v>
      </c>
      <c r="BS47" s="204" t="s">
        <v>1271</v>
      </c>
      <c r="BT47" s="353">
        <v>6</v>
      </c>
      <c r="BU47" s="353">
        <v>9568</v>
      </c>
      <c r="BV47" s="204" t="s">
        <v>1248</v>
      </c>
      <c r="BW47" s="204" t="s">
        <v>1253</v>
      </c>
      <c r="BX47" s="204" t="s">
        <v>1248</v>
      </c>
      <c r="BY47" s="204" t="s">
        <v>1248</v>
      </c>
      <c r="BZ47" s="204" t="s">
        <v>1254</v>
      </c>
      <c r="CA47" s="353">
        <v>4518</v>
      </c>
      <c r="CB47" s="353">
        <v>505.26322743100002</v>
      </c>
      <c r="CC47" s="204" t="s">
        <v>299</v>
      </c>
      <c r="CD47" s="204" t="s">
        <v>300</v>
      </c>
      <c r="CE47" s="204" t="s">
        <v>301</v>
      </c>
      <c r="CF47" s="204" t="s">
        <v>448</v>
      </c>
      <c r="CG47" s="204" t="s">
        <v>1256</v>
      </c>
      <c r="CH47" s="204" t="s">
        <v>204</v>
      </c>
      <c r="CJ47" s="204" t="s">
        <v>302</v>
      </c>
      <c r="CK47" s="353">
        <v>-9999</v>
      </c>
      <c r="CM47" s="353">
        <v>1</v>
      </c>
      <c r="CN47" s="204" t="s">
        <v>1264</v>
      </c>
      <c r="CO47" s="353">
        <v>-9999</v>
      </c>
      <c r="CS47" s="353">
        <v>-9999</v>
      </c>
      <c r="CT47" s="353">
        <v>-9999</v>
      </c>
      <c r="CV47" s="204" t="s">
        <v>1336</v>
      </c>
      <c r="CW47" s="353">
        <v>1.36126319608E-5</v>
      </c>
      <c r="CX47" s="204">
        <v>420</v>
      </c>
      <c r="CY47" s="204">
        <v>0</v>
      </c>
      <c r="CZ47" s="204">
        <v>0</v>
      </c>
      <c r="DA47" s="204">
        <v>10</v>
      </c>
      <c r="DB47" s="353">
        <v>0</v>
      </c>
      <c r="DC47" s="353">
        <v>0</v>
      </c>
      <c r="DD47" s="204">
        <v>10</v>
      </c>
      <c r="DE47" s="353">
        <v>0</v>
      </c>
      <c r="DF47" s="353">
        <v>0</v>
      </c>
      <c r="DG47" s="353">
        <v>1.7718345864499999E-2</v>
      </c>
      <c r="DH47" s="353">
        <v>12662.1412286</v>
      </c>
    </row>
    <row r="48" spans="1:112">
      <c r="A48" s="204">
        <v>421</v>
      </c>
      <c r="B48" s="204">
        <v>2</v>
      </c>
      <c r="C48" s="204">
        <v>9448</v>
      </c>
      <c r="D48" s="204">
        <v>0</v>
      </c>
      <c r="E48" s="204">
        <v>421</v>
      </c>
      <c r="F48" s="204">
        <v>0</v>
      </c>
      <c r="G48" s="204">
        <v>421</v>
      </c>
      <c r="H48" s="204" t="s">
        <v>329</v>
      </c>
      <c r="I48" s="354">
        <v>37462</v>
      </c>
      <c r="J48" s="204" t="s">
        <v>329</v>
      </c>
      <c r="K48" s="204" t="s">
        <v>1332</v>
      </c>
      <c r="L48" s="204" t="s">
        <v>1294</v>
      </c>
      <c r="M48" s="204" t="s">
        <v>330</v>
      </c>
      <c r="N48" s="353">
        <v>100</v>
      </c>
      <c r="P48" s="204" t="s">
        <v>331</v>
      </c>
      <c r="R48" s="204" t="s">
        <v>1248</v>
      </c>
      <c r="S48" s="353">
        <v>0</v>
      </c>
      <c r="T48" s="204" t="s">
        <v>306</v>
      </c>
      <c r="U48" s="204" t="s">
        <v>307</v>
      </c>
      <c r="W48" s="204" t="s">
        <v>332</v>
      </c>
      <c r="Z48" s="204" t="s">
        <v>309</v>
      </c>
      <c r="AA48" s="204" t="s">
        <v>310</v>
      </c>
      <c r="AB48" s="204" t="s">
        <v>1356</v>
      </c>
      <c r="AC48" s="204" t="s">
        <v>1259</v>
      </c>
      <c r="AD48" s="204" t="s">
        <v>1251</v>
      </c>
      <c r="AE48" s="353">
        <v>23970</v>
      </c>
      <c r="AF48" s="353">
        <v>105975</v>
      </c>
      <c r="AG48" s="353">
        <v>0</v>
      </c>
      <c r="AH48" s="204" t="s">
        <v>298</v>
      </c>
      <c r="AI48" s="353">
        <v>1</v>
      </c>
      <c r="AJ48" s="353">
        <v>1</v>
      </c>
      <c r="AK48" s="353">
        <v>0</v>
      </c>
      <c r="AL48" s="353">
        <v>0</v>
      </c>
      <c r="AM48" s="353">
        <v>0</v>
      </c>
      <c r="AQ48" s="353">
        <v>0</v>
      </c>
      <c r="BC48" s="353">
        <v>0</v>
      </c>
      <c r="BD48" s="353">
        <v>0</v>
      </c>
      <c r="BF48" s="353">
        <v>0</v>
      </c>
      <c r="BG48" s="204" t="s">
        <v>1248</v>
      </c>
      <c r="BH48" s="204" t="s">
        <v>1248</v>
      </c>
      <c r="BJ48" s="204" t="s">
        <v>1270</v>
      </c>
      <c r="BK48" s="353">
        <v>4518</v>
      </c>
      <c r="BL48" s="353">
        <v>2</v>
      </c>
      <c r="BM48" s="353">
        <v>6</v>
      </c>
      <c r="BN48" s="353">
        <v>0</v>
      </c>
      <c r="BO48" s="353">
        <v>6</v>
      </c>
      <c r="BP48" s="353">
        <v>0</v>
      </c>
      <c r="BQ48" s="353">
        <v>753</v>
      </c>
      <c r="BR48" s="204" t="s">
        <v>1248</v>
      </c>
      <c r="BS48" s="204" t="s">
        <v>1271</v>
      </c>
      <c r="BT48" s="353">
        <v>6</v>
      </c>
      <c r="BU48" s="353">
        <v>7661</v>
      </c>
      <c r="BV48" s="204" t="s">
        <v>1248</v>
      </c>
      <c r="BW48" s="204" t="s">
        <v>1253</v>
      </c>
      <c r="BX48" s="204" t="s">
        <v>1248</v>
      </c>
      <c r="BY48" s="204" t="s">
        <v>1248</v>
      </c>
      <c r="CA48" s="353">
        <v>4518</v>
      </c>
      <c r="CB48" s="353">
        <v>413.118578969</v>
      </c>
      <c r="CC48" s="204" t="s">
        <v>299</v>
      </c>
      <c r="CD48" s="204" t="s">
        <v>300</v>
      </c>
      <c r="CE48" s="204" t="s">
        <v>301</v>
      </c>
      <c r="CF48" s="204" t="s">
        <v>448</v>
      </c>
      <c r="CG48" s="204" t="s">
        <v>1256</v>
      </c>
      <c r="CH48" s="204" t="s">
        <v>204</v>
      </c>
      <c r="CJ48" s="204" t="s">
        <v>302</v>
      </c>
      <c r="CK48" s="353">
        <v>-9999</v>
      </c>
      <c r="CM48" s="353">
        <v>1</v>
      </c>
      <c r="CN48" s="204" t="s">
        <v>1264</v>
      </c>
      <c r="CO48" s="353">
        <v>-9999</v>
      </c>
      <c r="CS48" s="353">
        <v>-9999</v>
      </c>
      <c r="CT48" s="353">
        <v>-9999</v>
      </c>
      <c r="CV48" s="204" t="s">
        <v>1336</v>
      </c>
      <c r="CW48" s="353">
        <v>1.36126319608E-5</v>
      </c>
      <c r="CX48" s="204">
        <v>421</v>
      </c>
      <c r="CY48" s="204">
        <v>0</v>
      </c>
      <c r="CZ48" s="204">
        <v>0</v>
      </c>
      <c r="DA48" s="204">
        <v>10</v>
      </c>
      <c r="DB48" s="353">
        <v>0</v>
      </c>
      <c r="DC48" s="353">
        <v>0</v>
      </c>
      <c r="DD48" s="204">
        <v>10</v>
      </c>
      <c r="DE48" s="353">
        <v>0</v>
      </c>
      <c r="DF48" s="353">
        <v>0</v>
      </c>
      <c r="DG48" s="353">
        <v>1.7718345864499999E-2</v>
      </c>
      <c r="DH48" s="353">
        <v>7106.6559049699999</v>
      </c>
    </row>
    <row r="49" spans="1:112">
      <c r="A49" s="204">
        <v>422</v>
      </c>
      <c r="B49" s="204">
        <v>1</v>
      </c>
      <c r="C49" s="204">
        <v>9451</v>
      </c>
      <c r="D49" s="204">
        <v>0</v>
      </c>
      <c r="E49" s="204">
        <v>422</v>
      </c>
      <c r="F49" s="204">
        <v>0</v>
      </c>
      <c r="G49" s="204">
        <v>422</v>
      </c>
      <c r="H49" s="204" t="s">
        <v>532</v>
      </c>
      <c r="I49" s="354">
        <v>37462</v>
      </c>
      <c r="J49" s="204" t="s">
        <v>532</v>
      </c>
      <c r="K49" s="204" t="s">
        <v>1332</v>
      </c>
      <c r="L49" s="204" t="s">
        <v>1271</v>
      </c>
      <c r="M49" s="204" t="s">
        <v>445</v>
      </c>
      <c r="N49" s="353">
        <v>100</v>
      </c>
      <c r="P49" s="204" t="s">
        <v>533</v>
      </c>
      <c r="R49" s="204" t="s">
        <v>1248</v>
      </c>
      <c r="S49" s="353">
        <v>0</v>
      </c>
      <c r="T49" s="204" t="s">
        <v>341</v>
      </c>
      <c r="U49" s="204" t="s">
        <v>307</v>
      </c>
      <c r="W49" s="204" t="s">
        <v>534</v>
      </c>
      <c r="Y49" s="204" t="s">
        <v>535</v>
      </c>
      <c r="Z49" s="204" t="s">
        <v>309</v>
      </c>
      <c r="AA49" s="204" t="s">
        <v>310</v>
      </c>
      <c r="AB49" s="204" t="s">
        <v>1357</v>
      </c>
      <c r="AC49" s="204" t="s">
        <v>1250</v>
      </c>
      <c r="AD49" s="204" t="s">
        <v>1251</v>
      </c>
      <c r="AE49" s="353">
        <v>166100</v>
      </c>
      <c r="AF49" s="353">
        <v>313900</v>
      </c>
      <c r="AG49" s="353">
        <v>0</v>
      </c>
      <c r="AH49" s="204" t="s">
        <v>298</v>
      </c>
      <c r="AI49" s="353">
        <v>1</v>
      </c>
      <c r="AJ49" s="353">
        <v>1</v>
      </c>
      <c r="AK49" s="353">
        <v>0</v>
      </c>
      <c r="AL49" s="353">
        <v>0</v>
      </c>
      <c r="AM49" s="353">
        <v>0</v>
      </c>
      <c r="AQ49" s="353">
        <v>0</v>
      </c>
      <c r="BC49" s="353">
        <v>0</v>
      </c>
      <c r="BD49" s="353">
        <v>0</v>
      </c>
      <c r="BF49" s="353">
        <v>0</v>
      </c>
      <c r="BG49" s="204" t="s">
        <v>1248</v>
      </c>
      <c r="BH49" s="204" t="s">
        <v>1248</v>
      </c>
      <c r="BJ49" s="204" t="s">
        <v>1301</v>
      </c>
      <c r="BK49" s="353">
        <v>2870</v>
      </c>
      <c r="BL49" s="353">
        <v>2</v>
      </c>
      <c r="BM49" s="353">
        <v>4</v>
      </c>
      <c r="BN49" s="353">
        <v>4</v>
      </c>
      <c r="BO49" s="353">
        <v>0</v>
      </c>
      <c r="BP49" s="353">
        <v>0</v>
      </c>
      <c r="BQ49" s="353">
        <v>718</v>
      </c>
      <c r="BR49" s="204" t="s">
        <v>1261</v>
      </c>
      <c r="BS49" s="204" t="s">
        <v>1248</v>
      </c>
      <c r="BT49" s="353">
        <v>4</v>
      </c>
      <c r="BU49" s="353">
        <v>4000</v>
      </c>
      <c r="BV49" s="204" t="s">
        <v>1248</v>
      </c>
      <c r="BW49" s="204" t="s">
        <v>1253</v>
      </c>
      <c r="BX49" s="204" t="s">
        <v>1248</v>
      </c>
      <c r="BY49" s="204" t="s">
        <v>1248</v>
      </c>
      <c r="BZ49" s="204" t="s">
        <v>448</v>
      </c>
      <c r="CA49" s="353">
        <v>2870</v>
      </c>
      <c r="CB49" s="353">
        <v>275.37680689600001</v>
      </c>
      <c r="CC49" s="204" t="s">
        <v>517</v>
      </c>
      <c r="CD49" s="204" t="s">
        <v>300</v>
      </c>
      <c r="CE49" s="204" t="s">
        <v>301</v>
      </c>
      <c r="CF49" s="204" t="s">
        <v>448</v>
      </c>
      <c r="CG49" s="204" t="s">
        <v>1256</v>
      </c>
      <c r="CH49" s="204" t="s">
        <v>204</v>
      </c>
      <c r="CJ49" s="204" t="s">
        <v>302</v>
      </c>
      <c r="CK49" s="353">
        <v>-9999</v>
      </c>
      <c r="CM49" s="353">
        <v>1</v>
      </c>
      <c r="CN49" s="204" t="s">
        <v>1264</v>
      </c>
      <c r="CO49" s="353">
        <v>-9999</v>
      </c>
      <c r="CS49" s="353">
        <v>-9999</v>
      </c>
      <c r="CT49" s="353">
        <v>-9999</v>
      </c>
      <c r="CV49" s="204" t="s">
        <v>1336</v>
      </c>
      <c r="CW49" s="353">
        <v>1.36126319608E-5</v>
      </c>
      <c r="CX49" s="204">
        <v>422</v>
      </c>
      <c r="CY49" s="204">
        <v>0</v>
      </c>
      <c r="CZ49" s="204">
        <v>0</v>
      </c>
      <c r="DA49" s="204">
        <v>10</v>
      </c>
      <c r="DB49" s="353">
        <v>0</v>
      </c>
      <c r="DC49" s="353">
        <v>0</v>
      </c>
      <c r="DD49" s="204">
        <v>10</v>
      </c>
      <c r="DE49" s="353">
        <v>0</v>
      </c>
      <c r="DF49" s="353">
        <v>0</v>
      </c>
      <c r="DG49" s="353">
        <v>1.7718345864499999E-2</v>
      </c>
      <c r="DH49" s="353">
        <v>3811.1573860499998</v>
      </c>
    </row>
    <row r="50" spans="1:112">
      <c r="A50" s="204">
        <v>423</v>
      </c>
      <c r="B50" s="204">
        <v>1</v>
      </c>
      <c r="C50" s="204">
        <v>9452</v>
      </c>
      <c r="D50" s="204">
        <v>0</v>
      </c>
      <c r="E50" s="204">
        <v>423</v>
      </c>
      <c r="F50" s="204">
        <v>0</v>
      </c>
      <c r="G50" s="204">
        <v>423</v>
      </c>
      <c r="H50" s="204" t="s">
        <v>333</v>
      </c>
      <c r="I50" s="354">
        <v>39659</v>
      </c>
      <c r="J50" s="204" t="s">
        <v>333</v>
      </c>
      <c r="K50" s="204" t="s">
        <v>1332</v>
      </c>
      <c r="L50" s="204" t="s">
        <v>302</v>
      </c>
      <c r="M50" s="204" t="s">
        <v>334</v>
      </c>
      <c r="N50" s="353">
        <v>100</v>
      </c>
      <c r="O50" s="204" t="s">
        <v>1358</v>
      </c>
      <c r="P50" s="204" t="s">
        <v>335</v>
      </c>
      <c r="R50" s="204" t="s">
        <v>1248</v>
      </c>
      <c r="S50" s="353">
        <v>0</v>
      </c>
      <c r="T50" s="204" t="s">
        <v>336</v>
      </c>
      <c r="U50" s="204" t="s">
        <v>307</v>
      </c>
      <c r="W50" s="204" t="s">
        <v>337</v>
      </c>
      <c r="X50" s="204" t="s">
        <v>1359</v>
      </c>
      <c r="Z50" s="204" t="s">
        <v>309</v>
      </c>
      <c r="AA50" s="204" t="s">
        <v>310</v>
      </c>
      <c r="AC50" s="204" t="s">
        <v>1259</v>
      </c>
      <c r="AD50" s="204" t="s">
        <v>1251</v>
      </c>
      <c r="AE50" s="353">
        <v>133109</v>
      </c>
      <c r="AF50" s="353">
        <v>462767</v>
      </c>
      <c r="AG50" s="353">
        <v>0</v>
      </c>
      <c r="AH50" s="204" t="s">
        <v>298</v>
      </c>
      <c r="AI50" s="353">
        <v>1</v>
      </c>
      <c r="AJ50" s="353">
        <v>1</v>
      </c>
      <c r="AK50" s="353">
        <v>0</v>
      </c>
      <c r="AL50" s="353">
        <v>0</v>
      </c>
      <c r="AM50" s="353">
        <v>0</v>
      </c>
      <c r="AQ50" s="353">
        <v>0</v>
      </c>
      <c r="BC50" s="353">
        <v>0</v>
      </c>
      <c r="BD50" s="353">
        <v>0</v>
      </c>
      <c r="BF50" s="353">
        <v>0</v>
      </c>
      <c r="BG50" s="204" t="s">
        <v>1248</v>
      </c>
      <c r="BH50" s="204" t="s">
        <v>1248</v>
      </c>
      <c r="BJ50" s="204" t="s">
        <v>1270</v>
      </c>
      <c r="BK50" s="353">
        <v>2749</v>
      </c>
      <c r="BL50" s="353">
        <v>1</v>
      </c>
      <c r="BM50" s="353">
        <v>6</v>
      </c>
      <c r="BN50" s="353">
        <v>6</v>
      </c>
      <c r="BO50" s="353">
        <v>0</v>
      </c>
      <c r="BP50" s="353">
        <v>0</v>
      </c>
      <c r="BQ50" s="353">
        <v>458</v>
      </c>
      <c r="BR50" s="204" t="s">
        <v>1261</v>
      </c>
      <c r="BS50" s="204" t="s">
        <v>1248</v>
      </c>
      <c r="BT50" s="353">
        <v>6</v>
      </c>
      <c r="BU50" s="353">
        <v>10000</v>
      </c>
      <c r="BX50" s="204" t="s">
        <v>1248</v>
      </c>
      <c r="BY50" s="204" t="s">
        <v>1248</v>
      </c>
      <c r="BZ50" s="204" t="s">
        <v>1360</v>
      </c>
      <c r="CA50" s="353">
        <v>2749</v>
      </c>
      <c r="CB50" s="353">
        <v>399.37788487900002</v>
      </c>
      <c r="CC50" s="204" t="s">
        <v>299</v>
      </c>
      <c r="CD50" s="204" t="s">
        <v>300</v>
      </c>
      <c r="CE50" s="204" t="s">
        <v>301</v>
      </c>
      <c r="CF50" s="204" t="s">
        <v>448</v>
      </c>
      <c r="CG50" s="204" t="s">
        <v>1256</v>
      </c>
      <c r="CH50" s="204" t="s">
        <v>204</v>
      </c>
      <c r="CJ50" s="204" t="s">
        <v>302</v>
      </c>
      <c r="CK50" s="353">
        <v>-9999</v>
      </c>
      <c r="CM50" s="353">
        <v>1</v>
      </c>
      <c r="CN50" s="204" t="s">
        <v>1264</v>
      </c>
      <c r="CO50" s="353">
        <v>-9999</v>
      </c>
      <c r="CS50" s="353">
        <v>-9999</v>
      </c>
      <c r="CT50" s="353">
        <v>-9999</v>
      </c>
      <c r="CV50" s="204" t="s">
        <v>1336</v>
      </c>
      <c r="CW50" s="353">
        <v>1.36126319608E-5</v>
      </c>
      <c r="CX50" s="204">
        <v>423</v>
      </c>
      <c r="CY50" s="204">
        <v>0</v>
      </c>
      <c r="CZ50" s="204">
        <v>0</v>
      </c>
      <c r="DA50" s="204">
        <v>10</v>
      </c>
      <c r="DB50" s="353">
        <v>0</v>
      </c>
      <c r="DC50" s="353">
        <v>0</v>
      </c>
      <c r="DD50" s="204">
        <v>10</v>
      </c>
      <c r="DE50" s="353">
        <v>0</v>
      </c>
      <c r="DF50" s="353">
        <v>0</v>
      </c>
      <c r="DG50" s="353">
        <v>1.7718345864499999E-2</v>
      </c>
      <c r="DH50" s="353">
        <v>9968.8027906099996</v>
      </c>
    </row>
    <row r="51" spans="1:112">
      <c r="A51" s="204">
        <v>424</v>
      </c>
      <c r="B51" s="204">
        <v>1</v>
      </c>
      <c r="C51" s="204">
        <v>9455</v>
      </c>
      <c r="D51" s="204">
        <v>0</v>
      </c>
      <c r="E51" s="204">
        <v>424</v>
      </c>
      <c r="F51" s="204">
        <v>0</v>
      </c>
      <c r="G51" s="204">
        <v>424</v>
      </c>
      <c r="H51" s="204" t="s">
        <v>303</v>
      </c>
      <c r="I51" s="354">
        <v>37462</v>
      </c>
      <c r="J51" s="204" t="s">
        <v>303</v>
      </c>
      <c r="K51" s="204" t="s">
        <v>1332</v>
      </c>
      <c r="L51" s="204" t="s">
        <v>1247</v>
      </c>
      <c r="M51" s="204" t="s">
        <v>304</v>
      </c>
      <c r="N51" s="353">
        <v>100</v>
      </c>
      <c r="O51" s="204" t="s">
        <v>1361</v>
      </c>
      <c r="P51" s="204" t="s">
        <v>305</v>
      </c>
      <c r="R51" s="204" t="s">
        <v>1248</v>
      </c>
      <c r="S51" s="353">
        <v>0</v>
      </c>
      <c r="T51" s="204" t="s">
        <v>306</v>
      </c>
      <c r="U51" s="204" t="s">
        <v>307</v>
      </c>
      <c r="W51" s="204" t="s">
        <v>308</v>
      </c>
      <c r="Z51" s="204" t="s">
        <v>309</v>
      </c>
      <c r="AA51" s="204" t="s">
        <v>310</v>
      </c>
      <c r="AB51" s="204" t="s">
        <v>1362</v>
      </c>
      <c r="AC51" s="204" t="s">
        <v>1259</v>
      </c>
      <c r="AD51" s="204" t="s">
        <v>1251</v>
      </c>
      <c r="AE51" s="353">
        <v>75830</v>
      </c>
      <c r="AF51" s="353">
        <v>162625</v>
      </c>
      <c r="AG51" s="353">
        <v>0</v>
      </c>
      <c r="AH51" s="204" t="s">
        <v>298</v>
      </c>
      <c r="AI51" s="353">
        <v>0</v>
      </c>
      <c r="AJ51" s="353">
        <v>3</v>
      </c>
      <c r="AK51" s="353">
        <v>0</v>
      </c>
      <c r="AL51" s="353">
        <v>0</v>
      </c>
      <c r="AM51" s="353">
        <v>0</v>
      </c>
      <c r="AQ51" s="353">
        <v>0</v>
      </c>
      <c r="BC51" s="353">
        <v>0</v>
      </c>
      <c r="BD51" s="353">
        <v>0</v>
      </c>
      <c r="BF51" s="353">
        <v>0</v>
      </c>
      <c r="BG51" s="204" t="s">
        <v>1248</v>
      </c>
      <c r="BH51" s="204" t="s">
        <v>1248</v>
      </c>
      <c r="BJ51" s="204" t="s">
        <v>1270</v>
      </c>
      <c r="BK51" s="353">
        <v>4304</v>
      </c>
      <c r="BL51" s="353">
        <v>2</v>
      </c>
      <c r="BM51" s="353">
        <v>5</v>
      </c>
      <c r="BN51" s="353">
        <v>5</v>
      </c>
      <c r="BO51" s="353">
        <v>0</v>
      </c>
      <c r="BP51" s="353">
        <v>0</v>
      </c>
      <c r="BQ51" s="353">
        <v>861</v>
      </c>
      <c r="BR51" s="204" t="s">
        <v>1261</v>
      </c>
      <c r="BS51" s="204" t="s">
        <v>1248</v>
      </c>
      <c r="BT51" s="353">
        <v>5</v>
      </c>
      <c r="BU51" s="353">
        <v>10000</v>
      </c>
      <c r="BV51" s="204" t="s">
        <v>1248</v>
      </c>
      <c r="BW51" s="204" t="s">
        <v>1253</v>
      </c>
      <c r="BX51" s="204" t="s">
        <v>1248</v>
      </c>
      <c r="BY51" s="204" t="s">
        <v>1248</v>
      </c>
      <c r="CA51" s="353">
        <v>4304</v>
      </c>
      <c r="CB51" s="353">
        <v>402.59068762499999</v>
      </c>
      <c r="CC51" s="204" t="s">
        <v>299</v>
      </c>
      <c r="CD51" s="204" t="s">
        <v>300</v>
      </c>
      <c r="CE51" s="204" t="s">
        <v>301</v>
      </c>
      <c r="CF51" s="204" t="s">
        <v>448</v>
      </c>
      <c r="CG51" s="204" t="s">
        <v>1256</v>
      </c>
      <c r="CH51" s="204" t="s">
        <v>204</v>
      </c>
      <c r="CJ51" s="204" t="s">
        <v>302</v>
      </c>
      <c r="CK51" s="353">
        <v>-9999</v>
      </c>
      <c r="CM51" s="353">
        <v>1</v>
      </c>
      <c r="CN51" s="204" t="s">
        <v>1264</v>
      </c>
      <c r="CO51" s="353">
        <v>-9999</v>
      </c>
      <c r="CS51" s="353">
        <v>-9999</v>
      </c>
      <c r="CT51" s="353">
        <v>-9999</v>
      </c>
      <c r="CV51" s="204" t="s">
        <v>1336</v>
      </c>
      <c r="CW51" s="353">
        <v>1.36126319608E-5</v>
      </c>
      <c r="CX51" s="204">
        <v>424</v>
      </c>
      <c r="CY51" s="204">
        <v>0</v>
      </c>
      <c r="CZ51" s="204">
        <v>0</v>
      </c>
      <c r="DA51" s="204">
        <v>10</v>
      </c>
      <c r="DB51" s="353">
        <v>0</v>
      </c>
      <c r="DC51" s="353">
        <v>0</v>
      </c>
      <c r="DD51" s="204">
        <v>10</v>
      </c>
      <c r="DE51" s="353">
        <v>0</v>
      </c>
      <c r="DF51" s="353">
        <v>0</v>
      </c>
      <c r="DG51" s="353">
        <v>1.7718345864499999E-2</v>
      </c>
      <c r="DH51" s="353">
        <v>10100.789376299999</v>
      </c>
    </row>
    <row r="52" spans="1:112">
      <c r="A52" s="204">
        <v>425</v>
      </c>
      <c r="B52" s="204">
        <v>1</v>
      </c>
      <c r="C52" s="204">
        <v>9456</v>
      </c>
      <c r="D52" s="204">
        <v>0</v>
      </c>
      <c r="E52" s="204">
        <v>425</v>
      </c>
      <c r="F52" s="204">
        <v>0</v>
      </c>
      <c r="G52" s="204">
        <v>425</v>
      </c>
      <c r="H52" s="204" t="s">
        <v>378</v>
      </c>
      <c r="I52" s="354">
        <v>37462</v>
      </c>
      <c r="J52" s="204" t="s">
        <v>378</v>
      </c>
      <c r="K52" s="204" t="s">
        <v>1332</v>
      </c>
      <c r="L52" s="204" t="s">
        <v>1247</v>
      </c>
      <c r="M52" s="204" t="s">
        <v>379</v>
      </c>
      <c r="N52" s="353">
        <v>100</v>
      </c>
      <c r="P52" s="204" t="s">
        <v>380</v>
      </c>
      <c r="R52" s="204" t="s">
        <v>1248</v>
      </c>
      <c r="S52" s="353">
        <v>0</v>
      </c>
      <c r="T52" s="204" t="s">
        <v>362</v>
      </c>
      <c r="U52" s="204" t="s">
        <v>307</v>
      </c>
      <c r="W52" s="204" t="s">
        <v>381</v>
      </c>
      <c r="Z52" s="204" t="s">
        <v>309</v>
      </c>
      <c r="AA52" s="204" t="s">
        <v>310</v>
      </c>
      <c r="AB52" s="204" t="s">
        <v>1363</v>
      </c>
      <c r="AC52" s="204" t="s">
        <v>1259</v>
      </c>
      <c r="AD52" s="204" t="s">
        <v>1251</v>
      </c>
      <c r="AE52" s="353">
        <v>249900</v>
      </c>
      <c r="AF52" s="353">
        <v>750100</v>
      </c>
      <c r="AG52" s="353">
        <v>0</v>
      </c>
      <c r="AH52" s="204" t="s">
        <v>298</v>
      </c>
      <c r="AI52" s="353">
        <v>0</v>
      </c>
      <c r="AJ52" s="353">
        <v>5</v>
      </c>
      <c r="AK52" s="353">
        <v>0</v>
      </c>
      <c r="AL52" s="353">
        <v>0</v>
      </c>
      <c r="AM52" s="353">
        <v>0</v>
      </c>
      <c r="AQ52" s="353">
        <v>0</v>
      </c>
      <c r="BC52" s="353">
        <v>0</v>
      </c>
      <c r="BD52" s="353">
        <v>0</v>
      </c>
      <c r="BF52" s="353">
        <v>0</v>
      </c>
      <c r="BG52" s="204" t="s">
        <v>1248</v>
      </c>
      <c r="BH52" s="204" t="s">
        <v>1248</v>
      </c>
      <c r="BJ52" s="204" t="s">
        <v>1270</v>
      </c>
      <c r="BK52" s="353">
        <v>5637</v>
      </c>
      <c r="BL52" s="353">
        <v>1</v>
      </c>
      <c r="BM52" s="353">
        <v>10</v>
      </c>
      <c r="BN52" s="353">
        <v>8</v>
      </c>
      <c r="BO52" s="353">
        <v>1</v>
      </c>
      <c r="BP52" s="353">
        <v>0</v>
      </c>
      <c r="BQ52" s="353">
        <v>564</v>
      </c>
      <c r="BR52" s="204" t="s">
        <v>1261</v>
      </c>
      <c r="BS52" s="204" t="s">
        <v>1248</v>
      </c>
      <c r="BT52" s="353">
        <v>10</v>
      </c>
      <c r="BU52" s="353">
        <v>10000</v>
      </c>
      <c r="BV52" s="204" t="s">
        <v>1248</v>
      </c>
      <c r="BW52" s="204" t="s">
        <v>1253</v>
      </c>
      <c r="BX52" s="204" t="s">
        <v>1248</v>
      </c>
      <c r="BY52" s="204" t="s">
        <v>1248</v>
      </c>
      <c r="BZ52" s="204" t="s">
        <v>1112</v>
      </c>
      <c r="CA52" s="353">
        <v>5637</v>
      </c>
      <c r="CB52" s="353">
        <v>394.00009328099998</v>
      </c>
      <c r="CC52" s="204" t="s">
        <v>299</v>
      </c>
      <c r="CD52" s="204" t="s">
        <v>300</v>
      </c>
      <c r="CE52" s="204" t="s">
        <v>301</v>
      </c>
      <c r="CF52" s="204" t="s">
        <v>448</v>
      </c>
      <c r="CG52" s="204" t="s">
        <v>1256</v>
      </c>
      <c r="CH52" s="204" t="s">
        <v>204</v>
      </c>
      <c r="CJ52" s="204" t="s">
        <v>302</v>
      </c>
      <c r="CK52" s="353">
        <v>-9999</v>
      </c>
      <c r="CM52" s="353">
        <v>1</v>
      </c>
      <c r="CN52" s="204" t="s">
        <v>1264</v>
      </c>
      <c r="CO52" s="353">
        <v>-9999</v>
      </c>
      <c r="CS52" s="353">
        <v>-9999</v>
      </c>
      <c r="CT52" s="353">
        <v>-9999</v>
      </c>
      <c r="CV52" s="204" t="s">
        <v>1336</v>
      </c>
      <c r="CW52" s="353">
        <v>1.36126319608E-5</v>
      </c>
      <c r="CX52" s="204">
        <v>425</v>
      </c>
      <c r="CY52" s="204">
        <v>0</v>
      </c>
      <c r="CZ52" s="204">
        <v>0</v>
      </c>
      <c r="DA52" s="204">
        <v>10</v>
      </c>
      <c r="DB52" s="353">
        <v>0</v>
      </c>
      <c r="DC52" s="353">
        <v>0</v>
      </c>
      <c r="DD52" s="204">
        <v>10</v>
      </c>
      <c r="DE52" s="353">
        <v>0</v>
      </c>
      <c r="DF52" s="353">
        <v>0</v>
      </c>
      <c r="DG52" s="353">
        <v>1.7718345864499999E-2</v>
      </c>
      <c r="DH52" s="353">
        <v>9701.7339579599993</v>
      </c>
    </row>
    <row r="53" spans="1:112">
      <c r="A53" s="204">
        <v>426</v>
      </c>
      <c r="B53" s="204">
        <v>1</v>
      </c>
      <c r="C53" s="204">
        <v>9457</v>
      </c>
      <c r="D53" s="204">
        <v>0</v>
      </c>
      <c r="E53" s="204">
        <v>426</v>
      </c>
      <c r="F53" s="204">
        <v>0</v>
      </c>
      <c r="G53" s="204">
        <v>426</v>
      </c>
      <c r="H53" s="204" t="s">
        <v>338</v>
      </c>
      <c r="I53" s="354">
        <v>37462</v>
      </c>
      <c r="J53" s="204" t="s">
        <v>338</v>
      </c>
      <c r="K53" s="204" t="s">
        <v>1332</v>
      </c>
      <c r="L53" s="204" t="s">
        <v>1247</v>
      </c>
      <c r="M53" s="204" t="s">
        <v>339</v>
      </c>
      <c r="N53" s="353">
        <v>100</v>
      </c>
      <c r="P53" s="204" t="s">
        <v>340</v>
      </c>
      <c r="R53" s="204" t="s">
        <v>1248</v>
      </c>
      <c r="S53" s="353">
        <v>0</v>
      </c>
      <c r="T53" s="204" t="s">
        <v>341</v>
      </c>
      <c r="U53" s="204" t="s">
        <v>307</v>
      </c>
      <c r="W53" s="204" t="s">
        <v>342</v>
      </c>
      <c r="Z53" s="204" t="s">
        <v>309</v>
      </c>
      <c r="AA53" s="204" t="s">
        <v>310</v>
      </c>
      <c r="AB53" s="204" t="s">
        <v>1364</v>
      </c>
      <c r="AC53" s="204" t="s">
        <v>1259</v>
      </c>
      <c r="AD53" s="204" t="s">
        <v>1251</v>
      </c>
      <c r="AE53" s="353">
        <v>28620</v>
      </c>
      <c r="AF53" s="353">
        <v>102507</v>
      </c>
      <c r="AG53" s="353">
        <v>0</v>
      </c>
      <c r="AH53" s="204" t="s">
        <v>298</v>
      </c>
      <c r="AI53" s="353">
        <v>0</v>
      </c>
      <c r="AJ53" s="353">
        <v>3</v>
      </c>
      <c r="AK53" s="353">
        <v>0</v>
      </c>
      <c r="AL53" s="353">
        <v>0</v>
      </c>
      <c r="AM53" s="353">
        <v>0</v>
      </c>
      <c r="AQ53" s="353">
        <v>0</v>
      </c>
      <c r="BC53" s="353">
        <v>0</v>
      </c>
      <c r="BD53" s="353">
        <v>0</v>
      </c>
      <c r="BF53" s="353">
        <v>0</v>
      </c>
      <c r="BG53" s="204" t="s">
        <v>1248</v>
      </c>
      <c r="BH53" s="204" t="s">
        <v>1248</v>
      </c>
      <c r="BJ53" s="204" t="s">
        <v>1270</v>
      </c>
      <c r="BK53" s="353">
        <v>4038</v>
      </c>
      <c r="BL53" s="353">
        <v>2</v>
      </c>
      <c r="BM53" s="353">
        <v>6</v>
      </c>
      <c r="BN53" s="353">
        <v>5</v>
      </c>
      <c r="BO53" s="353">
        <v>0</v>
      </c>
      <c r="BP53" s="353">
        <v>1</v>
      </c>
      <c r="BQ53" s="353">
        <v>673</v>
      </c>
      <c r="BR53" s="204" t="s">
        <v>1261</v>
      </c>
      <c r="BS53" s="204" t="s">
        <v>1248</v>
      </c>
      <c r="BT53" s="353">
        <v>6</v>
      </c>
      <c r="BU53" s="353">
        <v>10000</v>
      </c>
      <c r="BV53" s="204" t="s">
        <v>1248</v>
      </c>
      <c r="BW53" s="204" t="s">
        <v>1253</v>
      </c>
      <c r="BX53" s="204" t="s">
        <v>1248</v>
      </c>
      <c r="BY53" s="204" t="s">
        <v>1248</v>
      </c>
      <c r="CA53" s="353">
        <v>4038</v>
      </c>
      <c r="CB53" s="353">
        <v>398.55899137699998</v>
      </c>
      <c r="CC53" s="204" t="s">
        <v>299</v>
      </c>
      <c r="CD53" s="204" t="s">
        <v>300</v>
      </c>
      <c r="CE53" s="204" t="s">
        <v>301</v>
      </c>
      <c r="CF53" s="204" t="s">
        <v>448</v>
      </c>
      <c r="CG53" s="204" t="s">
        <v>1256</v>
      </c>
      <c r="CH53" s="204" t="s">
        <v>204</v>
      </c>
      <c r="CJ53" s="204" t="s">
        <v>302</v>
      </c>
      <c r="CK53" s="353">
        <v>-9999</v>
      </c>
      <c r="CM53" s="353">
        <v>1</v>
      </c>
      <c r="CN53" s="204" t="s">
        <v>1264</v>
      </c>
      <c r="CO53" s="353">
        <v>-9999</v>
      </c>
      <c r="CS53" s="353">
        <v>-9999</v>
      </c>
      <c r="CT53" s="353">
        <v>-9999</v>
      </c>
      <c r="CV53" s="204" t="s">
        <v>1336</v>
      </c>
      <c r="CW53" s="353">
        <v>1.36126319608E-5</v>
      </c>
      <c r="CX53" s="204">
        <v>426</v>
      </c>
      <c r="CY53" s="204">
        <v>0</v>
      </c>
      <c r="CZ53" s="204">
        <v>0</v>
      </c>
      <c r="DA53" s="204">
        <v>10</v>
      </c>
      <c r="DB53" s="353">
        <v>0</v>
      </c>
      <c r="DC53" s="353">
        <v>0</v>
      </c>
      <c r="DD53" s="204">
        <v>10</v>
      </c>
      <c r="DE53" s="353">
        <v>0</v>
      </c>
      <c r="DF53" s="353">
        <v>0</v>
      </c>
      <c r="DG53" s="353">
        <v>1.7718345864499999E-2</v>
      </c>
      <c r="DH53" s="353">
        <v>9925.3498366599997</v>
      </c>
    </row>
    <row r="54" spans="1:112">
      <c r="A54" s="204">
        <v>427</v>
      </c>
      <c r="B54" s="204">
        <v>1</v>
      </c>
      <c r="C54" s="204">
        <v>9468</v>
      </c>
      <c r="D54" s="204">
        <v>2</v>
      </c>
      <c r="E54" s="204">
        <v>427</v>
      </c>
      <c r="F54" s="204">
        <v>0</v>
      </c>
      <c r="G54" s="204">
        <v>427</v>
      </c>
      <c r="H54" s="204" t="s">
        <v>1012</v>
      </c>
      <c r="I54" s="354">
        <v>37462</v>
      </c>
      <c r="J54" s="204" t="s">
        <v>1012</v>
      </c>
      <c r="K54" s="204" t="s">
        <v>1332</v>
      </c>
      <c r="L54" s="204" t="s">
        <v>1253</v>
      </c>
      <c r="M54" s="204" t="s">
        <v>1013</v>
      </c>
      <c r="N54" s="353">
        <v>100</v>
      </c>
      <c r="O54" s="204" t="s">
        <v>1365</v>
      </c>
      <c r="P54" s="204" t="s">
        <v>1010</v>
      </c>
      <c r="R54" s="204" t="s">
        <v>1248</v>
      </c>
      <c r="S54" s="353">
        <v>0.09</v>
      </c>
      <c r="T54" s="204" t="s">
        <v>388</v>
      </c>
      <c r="U54" s="204" t="s">
        <v>307</v>
      </c>
      <c r="W54" s="204" t="s">
        <v>1014</v>
      </c>
      <c r="Z54" s="204" t="s">
        <v>309</v>
      </c>
      <c r="AA54" s="204" t="s">
        <v>310</v>
      </c>
      <c r="AB54" s="204" t="s">
        <v>1366</v>
      </c>
      <c r="AC54" s="204" t="s">
        <v>1278</v>
      </c>
      <c r="AD54" s="204" t="s">
        <v>384</v>
      </c>
      <c r="AE54" s="353">
        <v>22275</v>
      </c>
      <c r="AF54" s="353">
        <v>83323</v>
      </c>
      <c r="AG54" s="353">
        <v>0</v>
      </c>
      <c r="AH54" s="204" t="s">
        <v>423</v>
      </c>
      <c r="AI54" s="353">
        <v>1</v>
      </c>
      <c r="AJ54" s="353">
        <v>1</v>
      </c>
      <c r="AK54" s="353">
        <v>4</v>
      </c>
      <c r="AL54" s="353">
        <v>2</v>
      </c>
      <c r="AM54" s="353">
        <v>10</v>
      </c>
      <c r="AN54" s="204" t="s">
        <v>186</v>
      </c>
      <c r="AO54" s="204" t="s">
        <v>1248</v>
      </c>
      <c r="AP54" s="204" t="s">
        <v>1248</v>
      </c>
      <c r="AQ54" s="353">
        <v>0</v>
      </c>
      <c r="AR54" s="204" t="s">
        <v>1248</v>
      </c>
      <c r="AS54" s="204" t="s">
        <v>1281</v>
      </c>
      <c r="AT54" s="204" t="s">
        <v>1248</v>
      </c>
      <c r="AU54" s="204" t="s">
        <v>1248</v>
      </c>
      <c r="AV54" s="204" t="s">
        <v>489</v>
      </c>
      <c r="AW54" s="204" t="s">
        <v>1248</v>
      </c>
      <c r="AX54" s="204" t="s">
        <v>1253</v>
      </c>
      <c r="AY54" s="204" t="s">
        <v>1261</v>
      </c>
      <c r="AZ54" s="204" t="s">
        <v>1248</v>
      </c>
      <c r="BB54" s="204" t="s">
        <v>453</v>
      </c>
      <c r="BC54" s="353">
        <v>2700</v>
      </c>
      <c r="BD54" s="353">
        <v>1591</v>
      </c>
      <c r="BE54" s="204" t="s">
        <v>723</v>
      </c>
      <c r="BF54" s="353">
        <v>0</v>
      </c>
      <c r="BG54" s="204" t="s">
        <v>1248</v>
      </c>
      <c r="BH54" s="204" t="s">
        <v>1248</v>
      </c>
      <c r="BI54" s="204" t="s">
        <v>723</v>
      </c>
      <c r="BK54" s="353">
        <v>0</v>
      </c>
      <c r="BL54" s="353">
        <v>0</v>
      </c>
      <c r="BM54" s="353">
        <v>0</v>
      </c>
      <c r="BN54" s="353">
        <v>0</v>
      </c>
      <c r="BO54" s="353">
        <v>0</v>
      </c>
      <c r="BP54" s="353">
        <v>0</v>
      </c>
      <c r="BQ54" s="353">
        <v>0</v>
      </c>
      <c r="BT54" s="353">
        <v>0</v>
      </c>
      <c r="BU54" s="353">
        <v>0</v>
      </c>
      <c r="CA54" s="353">
        <v>0</v>
      </c>
      <c r="CB54" s="353">
        <v>207.75619570699999</v>
      </c>
      <c r="CC54" s="204" t="s">
        <v>425</v>
      </c>
      <c r="CD54" s="204" t="s">
        <v>300</v>
      </c>
      <c r="CE54" s="204" t="s">
        <v>301</v>
      </c>
      <c r="CF54" s="204" t="s">
        <v>1367</v>
      </c>
      <c r="CG54" s="204" t="s">
        <v>1256</v>
      </c>
      <c r="CH54" s="204" t="s">
        <v>1298</v>
      </c>
      <c r="CI54" s="204" t="s">
        <v>359</v>
      </c>
      <c r="CJ54" s="204" t="s">
        <v>678</v>
      </c>
      <c r="CK54" s="353">
        <v>-9999</v>
      </c>
      <c r="CM54" s="353">
        <v>-9999</v>
      </c>
      <c r="CO54" s="353">
        <v>-9999</v>
      </c>
      <c r="CS54" s="353">
        <v>-9999</v>
      </c>
      <c r="CT54" s="353">
        <v>-9999</v>
      </c>
      <c r="CV54" s="204" t="s">
        <v>1336</v>
      </c>
      <c r="CW54" s="353">
        <v>4.9512921139799999E-5</v>
      </c>
      <c r="CX54" s="204">
        <v>427</v>
      </c>
      <c r="CY54" s="204">
        <v>0</v>
      </c>
      <c r="CZ54" s="204">
        <v>0</v>
      </c>
      <c r="DA54" s="204">
        <v>10</v>
      </c>
      <c r="DB54" s="353">
        <v>0</v>
      </c>
      <c r="DC54" s="353">
        <v>0</v>
      </c>
      <c r="DD54" s="204">
        <v>3</v>
      </c>
      <c r="DE54" s="353">
        <v>749.59402103100001</v>
      </c>
      <c r="DF54" s="353">
        <v>7928.8694756799996</v>
      </c>
      <c r="DG54" s="353">
        <v>0.11849632</v>
      </c>
      <c r="DH54" s="353">
        <v>2694.0531786800002</v>
      </c>
    </row>
    <row r="55" spans="1:112">
      <c r="A55" s="204">
        <v>428</v>
      </c>
      <c r="B55" s="204">
        <v>1</v>
      </c>
      <c r="C55" s="204">
        <v>9470</v>
      </c>
      <c r="D55" s="204">
        <v>2</v>
      </c>
      <c r="E55" s="204">
        <v>428</v>
      </c>
      <c r="F55" s="204">
        <v>0</v>
      </c>
      <c r="G55" s="204">
        <v>428</v>
      </c>
      <c r="H55" s="204" t="s">
        <v>1015</v>
      </c>
      <c r="I55" s="354">
        <v>37462</v>
      </c>
      <c r="J55" s="204" t="s">
        <v>1015</v>
      </c>
      <c r="K55" s="204" t="s">
        <v>1332</v>
      </c>
      <c r="L55" s="204" t="s">
        <v>302</v>
      </c>
      <c r="M55" s="204" t="s">
        <v>1016</v>
      </c>
      <c r="N55" s="353">
        <v>33</v>
      </c>
      <c r="O55" s="204" t="s">
        <v>1368</v>
      </c>
      <c r="P55" s="204" t="s">
        <v>1010</v>
      </c>
      <c r="R55" s="204" t="s">
        <v>1248</v>
      </c>
      <c r="S55" s="353">
        <v>0.25</v>
      </c>
      <c r="T55" s="204" t="s">
        <v>388</v>
      </c>
      <c r="U55" s="204" t="s">
        <v>307</v>
      </c>
      <c r="W55" s="204" t="s">
        <v>1017</v>
      </c>
      <c r="Z55" s="204" t="s">
        <v>309</v>
      </c>
      <c r="AA55" s="204" t="s">
        <v>310</v>
      </c>
      <c r="AB55" s="204" t="s">
        <v>1369</v>
      </c>
      <c r="AC55" s="204" t="s">
        <v>741</v>
      </c>
      <c r="AD55" s="204" t="s">
        <v>1251</v>
      </c>
      <c r="AE55" s="353">
        <v>25595</v>
      </c>
      <c r="AF55" s="353">
        <v>33986</v>
      </c>
      <c r="AG55" s="353">
        <v>0</v>
      </c>
      <c r="AH55" s="204" t="s">
        <v>298</v>
      </c>
      <c r="AI55" s="353">
        <v>1</v>
      </c>
      <c r="AJ55" s="353">
        <v>1</v>
      </c>
      <c r="AK55" s="353">
        <v>0</v>
      </c>
      <c r="AL55" s="353">
        <v>0</v>
      </c>
      <c r="AM55" s="353">
        <v>0</v>
      </c>
      <c r="AQ55" s="353">
        <v>0</v>
      </c>
      <c r="BC55" s="353">
        <v>0</v>
      </c>
      <c r="BD55" s="353">
        <v>0</v>
      </c>
      <c r="BF55" s="353">
        <v>0</v>
      </c>
      <c r="BG55" s="204" t="s">
        <v>1248</v>
      </c>
      <c r="BH55" s="204" t="s">
        <v>1248</v>
      </c>
      <c r="BJ55" s="204" t="s">
        <v>1321</v>
      </c>
      <c r="BK55" s="353">
        <v>3322</v>
      </c>
      <c r="BL55" s="353">
        <v>0</v>
      </c>
      <c r="BM55" s="353">
        <v>3</v>
      </c>
      <c r="BN55" s="353">
        <v>0</v>
      </c>
      <c r="BO55" s="353">
        <v>2</v>
      </c>
      <c r="BP55" s="353">
        <v>0</v>
      </c>
      <c r="BQ55" s="353">
        <v>1107</v>
      </c>
      <c r="BR55" s="204" t="s">
        <v>1248</v>
      </c>
      <c r="BS55" s="204" t="s">
        <v>1271</v>
      </c>
      <c r="BT55" s="353">
        <v>2</v>
      </c>
      <c r="BU55" s="353">
        <v>10890</v>
      </c>
      <c r="BV55" s="204" t="s">
        <v>1248</v>
      </c>
      <c r="BW55" s="204" t="s">
        <v>1253</v>
      </c>
      <c r="BX55" s="204" t="s">
        <v>1248</v>
      </c>
      <c r="BY55" s="204" t="s">
        <v>1248</v>
      </c>
      <c r="BZ55" s="204" t="s">
        <v>1254</v>
      </c>
      <c r="CA55" s="353">
        <v>3322</v>
      </c>
      <c r="CB55" s="353">
        <v>442.35156003399999</v>
      </c>
      <c r="CC55" s="204" t="s">
        <v>503</v>
      </c>
      <c r="CD55" s="204" t="s">
        <v>300</v>
      </c>
      <c r="CE55" s="204" t="s">
        <v>301</v>
      </c>
      <c r="CF55" s="204" t="s">
        <v>1367</v>
      </c>
      <c r="CG55" s="204" t="s">
        <v>1256</v>
      </c>
      <c r="CH55" s="204" t="s">
        <v>1298</v>
      </c>
      <c r="CI55" s="204" t="s">
        <v>359</v>
      </c>
      <c r="CJ55" s="204" t="s">
        <v>678</v>
      </c>
      <c r="CK55" s="353">
        <v>-9999</v>
      </c>
      <c r="CM55" s="353">
        <v>-9999</v>
      </c>
      <c r="CO55" s="353">
        <v>-9999</v>
      </c>
      <c r="CS55" s="353">
        <v>-9999</v>
      </c>
      <c r="CT55" s="353">
        <v>-9999</v>
      </c>
      <c r="CV55" s="204" t="s">
        <v>1336</v>
      </c>
      <c r="CW55" s="353">
        <v>4.9512921139799999E-5</v>
      </c>
      <c r="CX55" s="204">
        <v>428</v>
      </c>
      <c r="CY55" s="204">
        <v>0</v>
      </c>
      <c r="CZ55" s="204">
        <v>0</v>
      </c>
      <c r="DA55" s="204">
        <v>10</v>
      </c>
      <c r="DB55" s="353">
        <v>0</v>
      </c>
      <c r="DC55" s="353">
        <v>0</v>
      </c>
      <c r="DD55" s="204">
        <v>3</v>
      </c>
      <c r="DE55" s="353">
        <v>749.59402103100001</v>
      </c>
      <c r="DF55" s="353">
        <v>7928.8694756799996</v>
      </c>
      <c r="DG55" s="353">
        <v>0.11849632</v>
      </c>
      <c r="DH55" s="353">
        <v>10992.114146600001</v>
      </c>
    </row>
    <row r="56" spans="1:112">
      <c r="A56" s="204">
        <v>429</v>
      </c>
      <c r="B56" s="204">
        <v>1</v>
      </c>
      <c r="C56" s="204">
        <v>9473</v>
      </c>
      <c r="D56" s="204">
        <v>3</v>
      </c>
      <c r="E56" s="204">
        <v>429</v>
      </c>
      <c r="F56" s="204">
        <v>0</v>
      </c>
      <c r="G56" s="204">
        <v>429</v>
      </c>
      <c r="H56" s="204" t="s">
        <v>1008</v>
      </c>
      <c r="I56" s="354">
        <v>37462</v>
      </c>
      <c r="J56" s="204" t="s">
        <v>1008</v>
      </c>
      <c r="K56" s="204" t="s">
        <v>1332</v>
      </c>
      <c r="L56" s="204" t="s">
        <v>1294</v>
      </c>
      <c r="M56" s="204" t="s">
        <v>1009</v>
      </c>
      <c r="N56" s="353">
        <v>100</v>
      </c>
      <c r="P56" s="204" t="s">
        <v>1010</v>
      </c>
      <c r="R56" s="204" t="s">
        <v>1248</v>
      </c>
      <c r="S56" s="353">
        <v>0.14000000000000001</v>
      </c>
      <c r="T56" s="204" t="s">
        <v>388</v>
      </c>
      <c r="U56" s="204" t="s">
        <v>307</v>
      </c>
      <c r="W56" s="204" t="s">
        <v>1011</v>
      </c>
      <c r="Z56" s="204" t="s">
        <v>309</v>
      </c>
      <c r="AA56" s="204" t="s">
        <v>310</v>
      </c>
      <c r="AB56" s="204" t="s">
        <v>1366</v>
      </c>
      <c r="AC56" s="204" t="s">
        <v>1292</v>
      </c>
      <c r="AD56" s="204" t="s">
        <v>384</v>
      </c>
      <c r="AE56" s="353">
        <v>45915</v>
      </c>
      <c r="AF56" s="353">
        <v>147184</v>
      </c>
      <c r="AG56" s="353">
        <v>0</v>
      </c>
      <c r="AH56" s="204" t="s">
        <v>423</v>
      </c>
      <c r="AI56" s="353">
        <v>1</v>
      </c>
      <c r="AJ56" s="353">
        <v>2</v>
      </c>
      <c r="AK56" s="353">
        <v>5</v>
      </c>
      <c r="AL56" s="353">
        <v>2</v>
      </c>
      <c r="AM56" s="353">
        <v>10</v>
      </c>
      <c r="AN56" s="204" t="s">
        <v>186</v>
      </c>
      <c r="AO56" s="204" t="s">
        <v>1248</v>
      </c>
      <c r="AP56" s="204" t="s">
        <v>1248</v>
      </c>
      <c r="AQ56" s="353">
        <v>0</v>
      </c>
      <c r="AR56" s="204" t="s">
        <v>1296</v>
      </c>
      <c r="AS56" s="204" t="s">
        <v>1281</v>
      </c>
      <c r="AT56" s="204" t="s">
        <v>1248</v>
      </c>
      <c r="AU56" s="204" t="s">
        <v>1248</v>
      </c>
      <c r="AW56" s="204" t="s">
        <v>1296</v>
      </c>
      <c r="AX56" s="204" t="s">
        <v>1253</v>
      </c>
      <c r="AY56" s="204" t="s">
        <v>302</v>
      </c>
      <c r="AZ56" s="204" t="s">
        <v>1248</v>
      </c>
      <c r="BA56" s="204" t="s">
        <v>1248</v>
      </c>
      <c r="BB56" s="204" t="s">
        <v>1370</v>
      </c>
      <c r="BC56" s="353">
        <v>6098</v>
      </c>
      <c r="BD56" s="353">
        <v>2388</v>
      </c>
      <c r="BE56" s="204" t="s">
        <v>723</v>
      </c>
      <c r="BF56" s="353">
        <v>0</v>
      </c>
      <c r="BG56" s="204" t="s">
        <v>1248</v>
      </c>
      <c r="BH56" s="204" t="s">
        <v>1248</v>
      </c>
      <c r="BI56" s="204" t="s">
        <v>723</v>
      </c>
      <c r="BK56" s="353">
        <v>0</v>
      </c>
      <c r="BL56" s="353">
        <v>0</v>
      </c>
      <c r="BM56" s="353">
        <v>0</v>
      </c>
      <c r="BN56" s="353">
        <v>0</v>
      </c>
      <c r="BO56" s="353">
        <v>0</v>
      </c>
      <c r="BP56" s="353">
        <v>0</v>
      </c>
      <c r="BQ56" s="353">
        <v>0</v>
      </c>
      <c r="BT56" s="353">
        <v>0</v>
      </c>
      <c r="BU56" s="353">
        <v>0</v>
      </c>
      <c r="CA56" s="353">
        <v>0</v>
      </c>
      <c r="CB56" s="353">
        <v>378.94308890100001</v>
      </c>
      <c r="CC56" s="204" t="s">
        <v>498</v>
      </c>
      <c r="CD56" s="204" t="s">
        <v>300</v>
      </c>
      <c r="CE56" s="204" t="s">
        <v>301</v>
      </c>
      <c r="CF56" s="204" t="s">
        <v>1367</v>
      </c>
      <c r="CG56" s="204" t="s">
        <v>1256</v>
      </c>
      <c r="CH56" s="204" t="s">
        <v>1298</v>
      </c>
      <c r="CI56" s="204" t="s">
        <v>359</v>
      </c>
      <c r="CJ56" s="204" t="s">
        <v>678</v>
      </c>
      <c r="CK56" s="353">
        <v>-9999</v>
      </c>
      <c r="CM56" s="353">
        <v>-9999</v>
      </c>
      <c r="CO56" s="353">
        <v>-9999</v>
      </c>
      <c r="CS56" s="353">
        <v>-9999</v>
      </c>
      <c r="CT56" s="353">
        <v>-9999</v>
      </c>
      <c r="CV56" s="204" t="s">
        <v>1336</v>
      </c>
      <c r="CW56" s="353">
        <v>4.9512921139799999E-5</v>
      </c>
      <c r="CX56" s="204">
        <v>429</v>
      </c>
      <c r="CY56" s="204">
        <v>0</v>
      </c>
      <c r="CZ56" s="204">
        <v>0</v>
      </c>
      <c r="DA56" s="204">
        <v>10</v>
      </c>
      <c r="DB56" s="353">
        <v>0</v>
      </c>
      <c r="DC56" s="353">
        <v>0</v>
      </c>
      <c r="DD56" s="204">
        <v>3</v>
      </c>
      <c r="DE56" s="353">
        <v>749.59402103100001</v>
      </c>
      <c r="DF56" s="353">
        <v>7928.8694756799996</v>
      </c>
      <c r="DG56" s="353">
        <v>0.11849632</v>
      </c>
      <c r="DH56" s="353">
        <v>7610.0239693800004</v>
      </c>
    </row>
    <row r="57" spans="1:112">
      <c r="A57" s="204">
        <v>430</v>
      </c>
      <c r="B57" s="204">
        <v>1</v>
      </c>
      <c r="C57" s="204">
        <v>9477</v>
      </c>
      <c r="D57" s="204">
        <v>0</v>
      </c>
      <c r="E57" s="204">
        <v>430</v>
      </c>
      <c r="F57" s="204">
        <v>0</v>
      </c>
      <c r="G57" s="204">
        <v>430</v>
      </c>
      <c r="H57" s="204" t="s">
        <v>454</v>
      </c>
      <c r="I57" s="354">
        <v>37462</v>
      </c>
      <c r="J57" s="204" t="s">
        <v>454</v>
      </c>
      <c r="K57" s="204" t="s">
        <v>1332</v>
      </c>
      <c r="L57" s="204" t="s">
        <v>1247</v>
      </c>
      <c r="M57" s="204" t="s">
        <v>455</v>
      </c>
      <c r="N57" s="353">
        <v>100</v>
      </c>
      <c r="O57" s="204" t="s">
        <v>1371</v>
      </c>
      <c r="P57" s="204" t="s">
        <v>456</v>
      </c>
      <c r="R57" s="204" t="s">
        <v>1248</v>
      </c>
      <c r="S57" s="353">
        <v>0</v>
      </c>
      <c r="T57" s="204" t="s">
        <v>457</v>
      </c>
      <c r="U57" s="204" t="s">
        <v>307</v>
      </c>
      <c r="W57" s="204" t="s">
        <v>381</v>
      </c>
      <c r="Z57" s="204" t="s">
        <v>309</v>
      </c>
      <c r="AA57" s="204" t="s">
        <v>310</v>
      </c>
      <c r="AB57" s="204" t="s">
        <v>1372</v>
      </c>
      <c r="AC57" s="204" t="s">
        <v>1278</v>
      </c>
      <c r="AD57" s="204" t="s">
        <v>384</v>
      </c>
      <c r="AE57" s="353">
        <v>23734</v>
      </c>
      <c r="AF57" s="353">
        <v>26812</v>
      </c>
      <c r="AG57" s="353">
        <v>0</v>
      </c>
      <c r="AH57" s="204" t="s">
        <v>423</v>
      </c>
      <c r="AI57" s="353">
        <v>1</v>
      </c>
      <c r="AJ57" s="353">
        <v>1</v>
      </c>
      <c r="AK57" s="353">
        <v>4</v>
      </c>
      <c r="AL57" s="353">
        <v>2.5</v>
      </c>
      <c r="AM57" s="353">
        <v>8</v>
      </c>
      <c r="AN57" s="204" t="s">
        <v>186</v>
      </c>
      <c r="AO57" s="204" t="s">
        <v>1261</v>
      </c>
      <c r="AP57" s="204" t="s">
        <v>1248</v>
      </c>
      <c r="AQ57" s="353">
        <v>2</v>
      </c>
      <c r="AR57" s="204" t="s">
        <v>1248</v>
      </c>
      <c r="AS57" s="204" t="s">
        <v>1248</v>
      </c>
      <c r="AT57" s="204" t="s">
        <v>1248</v>
      </c>
      <c r="AU57" s="204" t="s">
        <v>1248</v>
      </c>
      <c r="AV57" s="204" t="s">
        <v>458</v>
      </c>
      <c r="AW57" s="204" t="s">
        <v>1248</v>
      </c>
      <c r="AX57" s="204" t="s">
        <v>1253</v>
      </c>
      <c r="AZ57" s="204" t="s">
        <v>1248</v>
      </c>
      <c r="BB57" s="204" t="s">
        <v>458</v>
      </c>
      <c r="BC57" s="353">
        <v>5000</v>
      </c>
      <c r="BD57" s="353">
        <v>1438</v>
      </c>
      <c r="BE57" s="204" t="s">
        <v>723</v>
      </c>
      <c r="BF57" s="353">
        <v>0</v>
      </c>
      <c r="BG57" s="204" t="s">
        <v>1248</v>
      </c>
      <c r="BH57" s="204" t="s">
        <v>1248</v>
      </c>
      <c r="BI57" s="204" t="s">
        <v>723</v>
      </c>
      <c r="BK57" s="353">
        <v>0</v>
      </c>
      <c r="BL57" s="353">
        <v>0</v>
      </c>
      <c r="BM57" s="353">
        <v>0</v>
      </c>
      <c r="BN57" s="353">
        <v>0</v>
      </c>
      <c r="BO57" s="353">
        <v>0</v>
      </c>
      <c r="BP57" s="353">
        <v>0</v>
      </c>
      <c r="BQ57" s="353">
        <v>0</v>
      </c>
      <c r="BT57" s="353">
        <v>0</v>
      </c>
      <c r="BU57" s="353">
        <v>0</v>
      </c>
      <c r="CA57" s="353">
        <v>0</v>
      </c>
      <c r="CB57" s="353">
        <v>303.98242153899997</v>
      </c>
      <c r="CC57" s="204" t="s">
        <v>425</v>
      </c>
      <c r="CD57" s="204" t="s">
        <v>300</v>
      </c>
      <c r="CE57" s="204" t="s">
        <v>301</v>
      </c>
      <c r="CF57" s="204" t="s">
        <v>448</v>
      </c>
      <c r="CG57" s="204" t="s">
        <v>1256</v>
      </c>
      <c r="CH57" s="204" t="s">
        <v>204</v>
      </c>
      <c r="CJ57" s="204" t="s">
        <v>302</v>
      </c>
      <c r="CK57" s="353">
        <v>-9999</v>
      </c>
      <c r="CM57" s="353">
        <v>1</v>
      </c>
      <c r="CN57" s="204" t="s">
        <v>1264</v>
      </c>
      <c r="CO57" s="353">
        <v>-9999</v>
      </c>
      <c r="CS57" s="353">
        <v>-9999</v>
      </c>
      <c r="CT57" s="353">
        <v>-9999</v>
      </c>
      <c r="CV57" s="204" t="s">
        <v>1336</v>
      </c>
      <c r="CW57" s="353">
        <v>1.36126319608E-5</v>
      </c>
      <c r="CX57" s="204">
        <v>430</v>
      </c>
      <c r="CY57" s="204">
        <v>0</v>
      </c>
      <c r="CZ57" s="204">
        <v>0</v>
      </c>
      <c r="DA57" s="204">
        <v>10</v>
      </c>
      <c r="DB57" s="353">
        <v>0</v>
      </c>
      <c r="DC57" s="353">
        <v>0</v>
      </c>
      <c r="DD57" s="204">
        <v>10</v>
      </c>
      <c r="DE57" s="353">
        <v>0</v>
      </c>
      <c r="DF57" s="353">
        <v>0</v>
      </c>
      <c r="DG57" s="353">
        <v>1.7718345864499999E-2</v>
      </c>
      <c r="DH57" s="353">
        <v>5109.7449342899999</v>
      </c>
    </row>
    <row r="58" spans="1:112">
      <c r="A58" s="204">
        <v>431</v>
      </c>
      <c r="B58" s="204">
        <v>2</v>
      </c>
      <c r="C58" s="204">
        <v>9478</v>
      </c>
      <c r="D58" s="204">
        <v>0</v>
      </c>
      <c r="E58" s="204">
        <v>431</v>
      </c>
      <c r="F58" s="204">
        <v>0</v>
      </c>
      <c r="G58" s="204">
        <v>431</v>
      </c>
      <c r="H58" s="204" t="s">
        <v>536</v>
      </c>
      <c r="I58" s="354">
        <v>37462</v>
      </c>
      <c r="J58" s="204" t="s">
        <v>536</v>
      </c>
      <c r="K58" s="204" t="s">
        <v>1332</v>
      </c>
      <c r="L58" s="204" t="s">
        <v>1294</v>
      </c>
      <c r="M58" s="204" t="s">
        <v>537</v>
      </c>
      <c r="N58" s="353">
        <v>100</v>
      </c>
      <c r="P58" s="204" t="s">
        <v>538</v>
      </c>
      <c r="R58" s="204" t="s">
        <v>1248</v>
      </c>
      <c r="S58" s="353">
        <v>0</v>
      </c>
      <c r="T58" s="204" t="s">
        <v>341</v>
      </c>
      <c r="U58" s="204" t="s">
        <v>307</v>
      </c>
      <c r="W58" s="204" t="s">
        <v>539</v>
      </c>
      <c r="Z58" s="204" t="s">
        <v>309</v>
      </c>
      <c r="AA58" s="204" t="s">
        <v>310</v>
      </c>
      <c r="AB58" s="204" t="s">
        <v>1373</v>
      </c>
      <c r="AC58" s="204" t="s">
        <v>1250</v>
      </c>
      <c r="AD58" s="204" t="s">
        <v>1251</v>
      </c>
      <c r="AE58" s="353">
        <v>157400</v>
      </c>
      <c r="AF58" s="353">
        <v>322600</v>
      </c>
      <c r="AG58" s="353">
        <v>0</v>
      </c>
      <c r="AH58" s="204" t="s">
        <v>298</v>
      </c>
      <c r="AI58" s="353">
        <v>1</v>
      </c>
      <c r="AJ58" s="353">
        <v>1</v>
      </c>
      <c r="AK58" s="353">
        <v>0</v>
      </c>
      <c r="AL58" s="353">
        <v>0</v>
      </c>
      <c r="AM58" s="353">
        <v>0</v>
      </c>
      <c r="AQ58" s="353">
        <v>0</v>
      </c>
      <c r="BC58" s="353">
        <v>0</v>
      </c>
      <c r="BD58" s="353">
        <v>0</v>
      </c>
      <c r="BF58" s="353">
        <v>0</v>
      </c>
      <c r="BG58" s="204" t="s">
        <v>1248</v>
      </c>
      <c r="BH58" s="204" t="s">
        <v>1248</v>
      </c>
      <c r="BJ58" s="204" t="s">
        <v>1301</v>
      </c>
      <c r="BK58" s="353">
        <v>2176</v>
      </c>
      <c r="BL58" s="353">
        <v>2</v>
      </c>
      <c r="BM58" s="353">
        <v>4</v>
      </c>
      <c r="BN58" s="353">
        <v>4</v>
      </c>
      <c r="BO58" s="353">
        <v>0</v>
      </c>
      <c r="BP58" s="353">
        <v>0</v>
      </c>
      <c r="BQ58" s="353">
        <v>544</v>
      </c>
      <c r="BR58" s="204" t="s">
        <v>1261</v>
      </c>
      <c r="BS58" s="204" t="s">
        <v>1248</v>
      </c>
      <c r="BT58" s="353">
        <v>4</v>
      </c>
      <c r="BU58" s="353">
        <v>5000</v>
      </c>
      <c r="BV58" s="204" t="s">
        <v>1248</v>
      </c>
      <c r="BW58" s="204" t="s">
        <v>1253</v>
      </c>
      <c r="BX58" s="204" t="s">
        <v>1248</v>
      </c>
      <c r="BY58" s="204" t="s">
        <v>1248</v>
      </c>
      <c r="CA58" s="353">
        <v>2176</v>
      </c>
      <c r="CB58" s="353">
        <v>303.82322355399998</v>
      </c>
      <c r="CC58" s="204" t="s">
        <v>517</v>
      </c>
      <c r="CD58" s="204" t="s">
        <v>300</v>
      </c>
      <c r="CE58" s="204" t="s">
        <v>301</v>
      </c>
      <c r="CF58" s="204" t="s">
        <v>1351</v>
      </c>
      <c r="CG58" s="204" t="s">
        <v>1256</v>
      </c>
      <c r="CH58" s="204" t="s">
        <v>204</v>
      </c>
      <c r="CJ58" s="204" t="s">
        <v>302</v>
      </c>
      <c r="CK58" s="353">
        <v>-9999</v>
      </c>
      <c r="CM58" s="353">
        <v>3</v>
      </c>
      <c r="CN58" s="204" t="s">
        <v>1264</v>
      </c>
      <c r="CO58" s="353">
        <v>-9999</v>
      </c>
      <c r="CS58" s="353">
        <v>-9999</v>
      </c>
      <c r="CT58" s="353">
        <v>-9999</v>
      </c>
      <c r="CV58" s="204" t="s">
        <v>1336</v>
      </c>
      <c r="CW58" s="353">
        <v>7.7345308171899998E-5</v>
      </c>
      <c r="CX58" s="204">
        <v>431</v>
      </c>
      <c r="CY58" s="204">
        <v>0</v>
      </c>
      <c r="CZ58" s="204">
        <v>0</v>
      </c>
      <c r="DA58" s="204">
        <v>10</v>
      </c>
      <c r="DB58" s="353">
        <v>0</v>
      </c>
      <c r="DC58" s="353">
        <v>0</v>
      </c>
      <c r="DD58" s="204">
        <v>10</v>
      </c>
      <c r="DE58" s="353">
        <v>0</v>
      </c>
      <c r="DF58" s="353">
        <v>0</v>
      </c>
      <c r="DG58" s="353">
        <v>7.0456173102999994E-2</v>
      </c>
      <c r="DH58" s="353">
        <v>5171.3033217100001</v>
      </c>
    </row>
    <row r="59" spans="1:112">
      <c r="A59" s="204">
        <v>432</v>
      </c>
      <c r="B59" s="204">
        <v>1</v>
      </c>
      <c r="C59" s="204">
        <v>9480</v>
      </c>
      <c r="D59" s="204">
        <v>0</v>
      </c>
      <c r="E59" s="204">
        <v>432</v>
      </c>
      <c r="F59" s="204">
        <v>0</v>
      </c>
      <c r="G59" s="204">
        <v>432</v>
      </c>
      <c r="H59" s="204" t="s">
        <v>540</v>
      </c>
      <c r="I59" s="354">
        <v>37462</v>
      </c>
      <c r="J59" s="204" t="s">
        <v>540</v>
      </c>
      <c r="K59" s="204" t="s">
        <v>1332</v>
      </c>
      <c r="L59" s="204" t="s">
        <v>1247</v>
      </c>
      <c r="M59" s="204" t="s">
        <v>541</v>
      </c>
      <c r="N59" s="353">
        <v>100</v>
      </c>
      <c r="O59" s="204" t="s">
        <v>1374</v>
      </c>
      <c r="P59" s="204" t="s">
        <v>542</v>
      </c>
      <c r="R59" s="204" t="s">
        <v>1248</v>
      </c>
      <c r="S59" s="353">
        <v>0</v>
      </c>
      <c r="T59" s="204" t="s">
        <v>362</v>
      </c>
      <c r="U59" s="204" t="s">
        <v>307</v>
      </c>
      <c r="W59" s="204" t="s">
        <v>543</v>
      </c>
      <c r="Z59" s="204" t="s">
        <v>309</v>
      </c>
      <c r="AA59" s="204" t="s">
        <v>310</v>
      </c>
      <c r="AB59" s="204" t="s">
        <v>1375</v>
      </c>
      <c r="AC59" s="204" t="s">
        <v>1250</v>
      </c>
      <c r="AD59" s="204" t="s">
        <v>1251</v>
      </c>
      <c r="AE59" s="353">
        <v>153500</v>
      </c>
      <c r="AF59" s="353">
        <v>326500</v>
      </c>
      <c r="AG59" s="353">
        <v>0</v>
      </c>
      <c r="AH59" s="204" t="s">
        <v>298</v>
      </c>
      <c r="AI59" s="353">
        <v>1</v>
      </c>
      <c r="AJ59" s="353">
        <v>1</v>
      </c>
      <c r="AK59" s="353">
        <v>0</v>
      </c>
      <c r="AL59" s="353">
        <v>0</v>
      </c>
      <c r="AM59" s="353">
        <v>0</v>
      </c>
      <c r="AQ59" s="353">
        <v>0</v>
      </c>
      <c r="BC59" s="353">
        <v>0</v>
      </c>
      <c r="BD59" s="353">
        <v>0</v>
      </c>
      <c r="BF59" s="353">
        <v>0</v>
      </c>
      <c r="BG59" s="204" t="s">
        <v>1248</v>
      </c>
      <c r="BH59" s="204" t="s">
        <v>1248</v>
      </c>
      <c r="BJ59" s="204" t="s">
        <v>1301</v>
      </c>
      <c r="BK59" s="353">
        <v>2103</v>
      </c>
      <c r="BL59" s="353">
        <v>1</v>
      </c>
      <c r="BM59" s="353">
        <v>4</v>
      </c>
      <c r="BN59" s="353">
        <v>3</v>
      </c>
      <c r="BO59" s="353">
        <v>1</v>
      </c>
      <c r="BP59" s="353">
        <v>0</v>
      </c>
      <c r="BQ59" s="353">
        <v>525</v>
      </c>
      <c r="BR59" s="204" t="s">
        <v>1261</v>
      </c>
      <c r="BS59" s="204" t="s">
        <v>1248</v>
      </c>
      <c r="BT59" s="353">
        <v>4</v>
      </c>
      <c r="BU59" s="353">
        <v>5900</v>
      </c>
      <c r="BV59" s="204" t="s">
        <v>1248</v>
      </c>
      <c r="BW59" s="204" t="s">
        <v>1253</v>
      </c>
      <c r="BX59" s="204" t="s">
        <v>1248</v>
      </c>
      <c r="BY59" s="204" t="s">
        <v>1248</v>
      </c>
      <c r="BZ59" s="204" t="s">
        <v>1254</v>
      </c>
      <c r="CA59" s="353">
        <v>2103</v>
      </c>
      <c r="CB59" s="353">
        <v>355.62248797400002</v>
      </c>
      <c r="CC59" s="204" t="s">
        <v>517</v>
      </c>
      <c r="CD59" s="204" t="s">
        <v>300</v>
      </c>
      <c r="CE59" s="204" t="s">
        <v>301</v>
      </c>
      <c r="CF59" s="204" t="s">
        <v>448</v>
      </c>
      <c r="CG59" s="204" t="s">
        <v>1256</v>
      </c>
      <c r="CH59" s="204" t="s">
        <v>204</v>
      </c>
      <c r="CJ59" s="204" t="s">
        <v>302</v>
      </c>
      <c r="CK59" s="353">
        <v>-9999</v>
      </c>
      <c r="CM59" s="353">
        <v>1</v>
      </c>
      <c r="CN59" s="204" t="s">
        <v>1264</v>
      </c>
      <c r="CO59" s="353">
        <v>-9999</v>
      </c>
      <c r="CS59" s="353">
        <v>-9999</v>
      </c>
      <c r="CT59" s="353">
        <v>-9999</v>
      </c>
      <c r="CV59" s="204" t="s">
        <v>1336</v>
      </c>
      <c r="CW59" s="353">
        <v>1.36126319608E-5</v>
      </c>
      <c r="CX59" s="204">
        <v>432</v>
      </c>
      <c r="CY59" s="204">
        <v>0</v>
      </c>
      <c r="CZ59" s="204">
        <v>0</v>
      </c>
      <c r="DA59" s="204">
        <v>10</v>
      </c>
      <c r="DB59" s="353">
        <v>0</v>
      </c>
      <c r="DC59" s="353">
        <v>0</v>
      </c>
      <c r="DD59" s="204">
        <v>10</v>
      </c>
      <c r="DE59" s="353">
        <v>0</v>
      </c>
      <c r="DF59" s="353">
        <v>0</v>
      </c>
      <c r="DG59" s="353">
        <v>1.7718345864499999E-2</v>
      </c>
      <c r="DH59" s="353">
        <v>5821.5287100200003</v>
      </c>
    </row>
    <row r="60" spans="1:112">
      <c r="A60" s="204">
        <v>433</v>
      </c>
      <c r="B60" s="204">
        <v>1</v>
      </c>
      <c r="C60" s="204">
        <v>9481</v>
      </c>
      <c r="D60" s="204">
        <v>0</v>
      </c>
      <c r="E60" s="204">
        <v>433</v>
      </c>
      <c r="F60" s="204">
        <v>0</v>
      </c>
      <c r="G60" s="204">
        <v>433</v>
      </c>
      <c r="H60" s="204" t="s">
        <v>544</v>
      </c>
      <c r="I60" s="354">
        <v>37462</v>
      </c>
      <c r="J60" s="204" t="s">
        <v>544</v>
      </c>
      <c r="K60" s="204" t="s">
        <v>1332</v>
      </c>
      <c r="L60" s="204" t="s">
        <v>1247</v>
      </c>
      <c r="M60" s="204" t="s">
        <v>541</v>
      </c>
      <c r="N60" s="353">
        <v>100</v>
      </c>
      <c r="O60" s="204" t="s">
        <v>1374</v>
      </c>
      <c r="P60" s="204" t="s">
        <v>545</v>
      </c>
      <c r="R60" s="204" t="s">
        <v>1248</v>
      </c>
      <c r="S60" s="353">
        <v>0</v>
      </c>
      <c r="T60" s="204" t="s">
        <v>341</v>
      </c>
      <c r="U60" s="204" t="s">
        <v>307</v>
      </c>
      <c r="W60" s="204" t="s">
        <v>546</v>
      </c>
      <c r="Z60" s="204" t="s">
        <v>309</v>
      </c>
      <c r="AA60" s="204" t="s">
        <v>310</v>
      </c>
      <c r="AB60" s="204" t="s">
        <v>1376</v>
      </c>
      <c r="AC60" s="204" t="s">
        <v>1250</v>
      </c>
      <c r="AD60" s="204" t="s">
        <v>1251</v>
      </c>
      <c r="AE60" s="353">
        <v>166900</v>
      </c>
      <c r="AF60" s="353">
        <v>313100</v>
      </c>
      <c r="AG60" s="353">
        <v>0</v>
      </c>
      <c r="AH60" s="204" t="s">
        <v>298</v>
      </c>
      <c r="AI60" s="353">
        <v>1</v>
      </c>
      <c r="AJ60" s="353">
        <v>1</v>
      </c>
      <c r="AK60" s="353">
        <v>0</v>
      </c>
      <c r="AL60" s="353">
        <v>0</v>
      </c>
      <c r="AM60" s="353">
        <v>0</v>
      </c>
      <c r="AQ60" s="353">
        <v>0</v>
      </c>
      <c r="BC60" s="353">
        <v>0</v>
      </c>
      <c r="BD60" s="353">
        <v>0</v>
      </c>
      <c r="BF60" s="353">
        <v>0</v>
      </c>
      <c r="BG60" s="204" t="s">
        <v>1248</v>
      </c>
      <c r="BH60" s="204" t="s">
        <v>1248</v>
      </c>
      <c r="BJ60" s="204" t="s">
        <v>1270</v>
      </c>
      <c r="BK60" s="353">
        <v>3600</v>
      </c>
      <c r="BL60" s="353">
        <v>2</v>
      </c>
      <c r="BM60" s="353">
        <v>4</v>
      </c>
      <c r="BN60" s="353">
        <v>4</v>
      </c>
      <c r="BO60" s="353">
        <v>0</v>
      </c>
      <c r="BP60" s="353">
        <v>0</v>
      </c>
      <c r="BQ60" s="353">
        <v>900</v>
      </c>
      <c r="BR60" s="204" t="s">
        <v>1261</v>
      </c>
      <c r="BS60" s="204" t="s">
        <v>1248</v>
      </c>
      <c r="BT60" s="353">
        <v>4</v>
      </c>
      <c r="BU60" s="353">
        <v>9100</v>
      </c>
      <c r="BV60" s="204" t="s">
        <v>1248</v>
      </c>
      <c r="BW60" s="204" t="s">
        <v>1253</v>
      </c>
      <c r="BX60" s="204" t="s">
        <v>1248</v>
      </c>
      <c r="BY60" s="204" t="s">
        <v>1248</v>
      </c>
      <c r="BZ60" s="204" t="s">
        <v>1377</v>
      </c>
      <c r="CA60" s="353">
        <v>3600</v>
      </c>
      <c r="CB60" s="353">
        <v>397.13713947999997</v>
      </c>
      <c r="CC60" s="204" t="s">
        <v>517</v>
      </c>
      <c r="CD60" s="204" t="s">
        <v>300</v>
      </c>
      <c r="CE60" s="204" t="s">
        <v>301</v>
      </c>
      <c r="CF60" s="204" t="s">
        <v>448</v>
      </c>
      <c r="CG60" s="204" t="s">
        <v>1256</v>
      </c>
      <c r="CH60" s="204" t="s">
        <v>204</v>
      </c>
      <c r="CJ60" s="204" t="s">
        <v>302</v>
      </c>
      <c r="CK60" s="353">
        <v>-9999</v>
      </c>
      <c r="CM60" s="353">
        <v>1</v>
      </c>
      <c r="CN60" s="204" t="s">
        <v>1264</v>
      </c>
      <c r="CO60" s="353">
        <v>-9999</v>
      </c>
      <c r="CS60" s="353">
        <v>-9999</v>
      </c>
      <c r="CT60" s="353">
        <v>-9999</v>
      </c>
      <c r="CV60" s="204" t="s">
        <v>1336</v>
      </c>
      <c r="CW60" s="353">
        <v>1.36126319608E-5</v>
      </c>
      <c r="CX60" s="204">
        <v>433</v>
      </c>
      <c r="CY60" s="204">
        <v>0</v>
      </c>
      <c r="CZ60" s="204">
        <v>0</v>
      </c>
      <c r="DA60" s="204">
        <v>10</v>
      </c>
      <c r="DB60" s="353">
        <v>0</v>
      </c>
      <c r="DC60" s="353">
        <v>0</v>
      </c>
      <c r="DD60" s="204">
        <v>10</v>
      </c>
      <c r="DE60" s="353">
        <v>0</v>
      </c>
      <c r="DF60" s="353">
        <v>0</v>
      </c>
      <c r="DG60" s="353">
        <v>1.7718345864499999E-2</v>
      </c>
      <c r="DH60" s="353">
        <v>8926.4687002400005</v>
      </c>
    </row>
    <row r="61" spans="1:112">
      <c r="A61" s="204">
        <v>434</v>
      </c>
      <c r="B61" s="204">
        <v>1</v>
      </c>
      <c r="C61" s="204">
        <v>9482</v>
      </c>
      <c r="D61" s="204">
        <v>0</v>
      </c>
      <c r="E61" s="204">
        <v>434</v>
      </c>
      <c r="F61" s="204">
        <v>0</v>
      </c>
      <c r="G61" s="204">
        <v>434</v>
      </c>
      <c r="H61" s="204" t="s">
        <v>459</v>
      </c>
      <c r="I61" s="354">
        <v>37462</v>
      </c>
      <c r="J61" s="204" t="s">
        <v>459</v>
      </c>
      <c r="K61" s="204" t="s">
        <v>1332</v>
      </c>
      <c r="L61" s="204" t="s">
        <v>302</v>
      </c>
      <c r="M61" s="204" t="s">
        <v>460</v>
      </c>
      <c r="N61" s="353">
        <v>50</v>
      </c>
      <c r="O61" s="204" t="s">
        <v>1378</v>
      </c>
      <c r="P61" s="204" t="s">
        <v>461</v>
      </c>
      <c r="R61" s="204" t="s">
        <v>1248</v>
      </c>
      <c r="S61" s="353">
        <v>0</v>
      </c>
      <c r="T61" s="204" t="s">
        <v>462</v>
      </c>
      <c r="U61" s="204" t="s">
        <v>294</v>
      </c>
      <c r="W61" s="204" t="s">
        <v>463</v>
      </c>
      <c r="Z61" s="204" t="s">
        <v>309</v>
      </c>
      <c r="AA61" s="204" t="s">
        <v>310</v>
      </c>
      <c r="AB61" s="204" t="s">
        <v>1379</v>
      </c>
      <c r="AC61" s="204" t="s">
        <v>1278</v>
      </c>
      <c r="AD61" s="204" t="s">
        <v>384</v>
      </c>
      <c r="AE61" s="353">
        <v>24483</v>
      </c>
      <c r="AF61" s="353">
        <v>85073</v>
      </c>
      <c r="AG61" s="353">
        <v>0</v>
      </c>
      <c r="AH61" s="204" t="s">
        <v>423</v>
      </c>
      <c r="AI61" s="353">
        <v>1</v>
      </c>
      <c r="AJ61" s="353">
        <v>1</v>
      </c>
      <c r="AK61" s="353">
        <v>3</v>
      </c>
      <c r="AL61" s="353">
        <v>2</v>
      </c>
      <c r="AM61" s="353">
        <v>7</v>
      </c>
      <c r="AN61" s="204" t="s">
        <v>186</v>
      </c>
      <c r="AO61" s="204" t="s">
        <v>1261</v>
      </c>
      <c r="AP61" s="204" t="s">
        <v>1248</v>
      </c>
      <c r="AQ61" s="353">
        <v>2</v>
      </c>
      <c r="AR61" s="204" t="s">
        <v>1248</v>
      </c>
      <c r="AS61" s="204" t="s">
        <v>1248</v>
      </c>
      <c r="AT61" s="204" t="s">
        <v>1248</v>
      </c>
      <c r="AU61" s="204" t="s">
        <v>1248</v>
      </c>
      <c r="AV61" s="204" t="s">
        <v>464</v>
      </c>
      <c r="AW61" s="204" t="s">
        <v>1248</v>
      </c>
      <c r="AX61" s="204" t="s">
        <v>1253</v>
      </c>
      <c r="AY61" s="204" t="s">
        <v>302</v>
      </c>
      <c r="AZ61" s="204" t="s">
        <v>1248</v>
      </c>
      <c r="BB61" s="204" t="s">
        <v>453</v>
      </c>
      <c r="BC61" s="353">
        <v>5000</v>
      </c>
      <c r="BD61" s="353">
        <v>1439</v>
      </c>
      <c r="BE61" s="204" t="s">
        <v>723</v>
      </c>
      <c r="BF61" s="353">
        <v>0</v>
      </c>
      <c r="BG61" s="204" t="s">
        <v>1248</v>
      </c>
      <c r="BH61" s="204" t="s">
        <v>1248</v>
      </c>
      <c r="BI61" s="204" t="s">
        <v>723</v>
      </c>
      <c r="BK61" s="353">
        <v>0</v>
      </c>
      <c r="BL61" s="353">
        <v>0</v>
      </c>
      <c r="BM61" s="353">
        <v>0</v>
      </c>
      <c r="BN61" s="353">
        <v>0</v>
      </c>
      <c r="BO61" s="353">
        <v>0</v>
      </c>
      <c r="BP61" s="353">
        <v>0</v>
      </c>
      <c r="BQ61" s="353">
        <v>0</v>
      </c>
      <c r="BT61" s="353">
        <v>0</v>
      </c>
      <c r="BU61" s="353">
        <v>0</v>
      </c>
      <c r="CA61" s="353">
        <v>0</v>
      </c>
      <c r="CB61" s="353">
        <v>299.52698740900001</v>
      </c>
      <c r="CC61" s="204" t="s">
        <v>425</v>
      </c>
      <c r="CD61" s="204" t="s">
        <v>300</v>
      </c>
      <c r="CE61" s="204" t="s">
        <v>301</v>
      </c>
      <c r="CF61" s="204" t="s">
        <v>448</v>
      </c>
      <c r="CG61" s="204" t="s">
        <v>1256</v>
      </c>
      <c r="CH61" s="204" t="s">
        <v>204</v>
      </c>
      <c r="CJ61" s="204" t="s">
        <v>302</v>
      </c>
      <c r="CK61" s="353">
        <v>-9999</v>
      </c>
      <c r="CM61" s="353">
        <v>1</v>
      </c>
      <c r="CN61" s="204" t="s">
        <v>1264</v>
      </c>
      <c r="CO61" s="353">
        <v>-9999</v>
      </c>
      <c r="CS61" s="353">
        <v>-9999</v>
      </c>
      <c r="CT61" s="353">
        <v>-9999</v>
      </c>
      <c r="CV61" s="204" t="s">
        <v>1336</v>
      </c>
      <c r="CW61" s="353">
        <v>1.36126319608E-5</v>
      </c>
      <c r="CX61" s="204">
        <v>434</v>
      </c>
      <c r="CY61" s="204">
        <v>0</v>
      </c>
      <c r="CZ61" s="204">
        <v>0</v>
      </c>
      <c r="DA61" s="204">
        <v>10</v>
      </c>
      <c r="DB61" s="353">
        <v>0</v>
      </c>
      <c r="DC61" s="353">
        <v>0</v>
      </c>
      <c r="DD61" s="204">
        <v>10</v>
      </c>
      <c r="DE61" s="353">
        <v>0</v>
      </c>
      <c r="DF61" s="353">
        <v>0</v>
      </c>
      <c r="DG61" s="353">
        <v>1.7718345864499999E-2</v>
      </c>
      <c r="DH61" s="353">
        <v>4988.0325669699996</v>
      </c>
    </row>
    <row r="62" spans="1:112">
      <c r="A62" s="204">
        <v>435</v>
      </c>
      <c r="B62" s="204">
        <v>1</v>
      </c>
      <c r="C62" s="204">
        <v>9484</v>
      </c>
      <c r="D62" s="204">
        <v>0</v>
      </c>
      <c r="E62" s="204">
        <v>435</v>
      </c>
      <c r="F62" s="204">
        <v>0</v>
      </c>
      <c r="G62" s="204">
        <v>435</v>
      </c>
      <c r="H62" s="204" t="s">
        <v>465</v>
      </c>
      <c r="I62" s="354">
        <v>37462</v>
      </c>
      <c r="J62" s="204" t="s">
        <v>465</v>
      </c>
      <c r="K62" s="204" t="s">
        <v>1332</v>
      </c>
      <c r="L62" s="204" t="s">
        <v>1247</v>
      </c>
      <c r="M62" s="204" t="s">
        <v>466</v>
      </c>
      <c r="N62" s="353">
        <v>100</v>
      </c>
      <c r="P62" s="204" t="s">
        <v>467</v>
      </c>
      <c r="R62" s="204" t="s">
        <v>1248</v>
      </c>
      <c r="S62" s="353">
        <v>0</v>
      </c>
      <c r="T62" s="204" t="s">
        <v>362</v>
      </c>
      <c r="U62" s="204" t="s">
        <v>307</v>
      </c>
      <c r="W62" s="204" t="s">
        <v>468</v>
      </c>
      <c r="Z62" s="204" t="s">
        <v>309</v>
      </c>
      <c r="AA62" s="204" t="s">
        <v>310</v>
      </c>
      <c r="AB62" s="204" t="s">
        <v>1380</v>
      </c>
      <c r="AC62" s="204" t="s">
        <v>1278</v>
      </c>
      <c r="AD62" s="204" t="s">
        <v>384</v>
      </c>
      <c r="AE62" s="353">
        <v>200000</v>
      </c>
      <c r="AF62" s="353">
        <v>245000</v>
      </c>
      <c r="AG62" s="353">
        <v>0</v>
      </c>
      <c r="AH62" s="204" t="s">
        <v>423</v>
      </c>
      <c r="AI62" s="353">
        <v>1</v>
      </c>
      <c r="AJ62" s="353">
        <v>1</v>
      </c>
      <c r="AK62" s="353">
        <v>4</v>
      </c>
      <c r="AL62" s="353">
        <v>3</v>
      </c>
      <c r="AM62" s="353">
        <v>10</v>
      </c>
      <c r="AN62" s="204" t="s">
        <v>186</v>
      </c>
      <c r="AO62" s="204" t="s">
        <v>1248</v>
      </c>
      <c r="AP62" s="204" t="s">
        <v>1271</v>
      </c>
      <c r="AQ62" s="353">
        <v>2</v>
      </c>
      <c r="AR62" s="204" t="s">
        <v>1248</v>
      </c>
      <c r="AS62" s="204" t="s">
        <v>1248</v>
      </c>
      <c r="AT62" s="204" t="s">
        <v>1282</v>
      </c>
      <c r="AU62" s="204" t="s">
        <v>1248</v>
      </c>
      <c r="AV62" s="204" t="s">
        <v>469</v>
      </c>
      <c r="AW62" s="204" t="s">
        <v>1248</v>
      </c>
      <c r="AX62" s="204" t="s">
        <v>1253</v>
      </c>
      <c r="AY62" s="204" t="s">
        <v>1248</v>
      </c>
      <c r="AZ62" s="204" t="s">
        <v>1248</v>
      </c>
      <c r="BA62" s="204" t="s">
        <v>1248</v>
      </c>
      <c r="BB62" s="204" t="s">
        <v>469</v>
      </c>
      <c r="BC62" s="353">
        <v>3800</v>
      </c>
      <c r="BD62" s="353">
        <v>1898</v>
      </c>
      <c r="BE62" s="204" t="s">
        <v>723</v>
      </c>
      <c r="BF62" s="353">
        <v>0</v>
      </c>
      <c r="BG62" s="204" t="s">
        <v>1248</v>
      </c>
      <c r="BH62" s="204" t="s">
        <v>1248</v>
      </c>
      <c r="BI62" s="204" t="s">
        <v>723</v>
      </c>
      <c r="BK62" s="353">
        <v>0</v>
      </c>
      <c r="BL62" s="353">
        <v>0</v>
      </c>
      <c r="BM62" s="353">
        <v>0</v>
      </c>
      <c r="BN62" s="353">
        <v>0</v>
      </c>
      <c r="BO62" s="353">
        <v>0</v>
      </c>
      <c r="BP62" s="353">
        <v>0</v>
      </c>
      <c r="BQ62" s="353">
        <v>0</v>
      </c>
      <c r="BT62" s="353">
        <v>0</v>
      </c>
      <c r="BU62" s="353">
        <v>0</v>
      </c>
      <c r="CA62" s="353">
        <v>0</v>
      </c>
      <c r="CB62" s="353">
        <v>274.64298768100002</v>
      </c>
      <c r="CC62" s="204" t="s">
        <v>425</v>
      </c>
      <c r="CD62" s="204" t="s">
        <v>300</v>
      </c>
      <c r="CE62" s="204" t="s">
        <v>301</v>
      </c>
      <c r="CF62" s="204" t="s">
        <v>448</v>
      </c>
      <c r="CG62" s="204" t="s">
        <v>1256</v>
      </c>
      <c r="CH62" s="204" t="s">
        <v>204</v>
      </c>
      <c r="CJ62" s="204" t="s">
        <v>302</v>
      </c>
      <c r="CK62" s="353">
        <v>-9999</v>
      </c>
      <c r="CM62" s="353">
        <v>1</v>
      </c>
      <c r="CN62" s="204" t="s">
        <v>1264</v>
      </c>
      <c r="CO62" s="353">
        <v>-9999</v>
      </c>
      <c r="CS62" s="353">
        <v>-9999</v>
      </c>
      <c r="CT62" s="353">
        <v>-9999</v>
      </c>
      <c r="CV62" s="204" t="s">
        <v>1336</v>
      </c>
      <c r="CW62" s="353">
        <v>1.36126319608E-5</v>
      </c>
      <c r="CX62" s="204">
        <v>435</v>
      </c>
      <c r="CY62" s="204">
        <v>0</v>
      </c>
      <c r="CZ62" s="204">
        <v>0</v>
      </c>
      <c r="DA62" s="204">
        <v>10</v>
      </c>
      <c r="DB62" s="353">
        <v>0</v>
      </c>
      <c r="DC62" s="353">
        <v>0</v>
      </c>
      <c r="DD62" s="204">
        <v>10</v>
      </c>
      <c r="DE62" s="353">
        <v>0</v>
      </c>
      <c r="DF62" s="353">
        <v>0</v>
      </c>
      <c r="DG62" s="353">
        <v>1.7718345864499999E-2</v>
      </c>
      <c r="DH62" s="353">
        <v>3729.4916850300001</v>
      </c>
    </row>
    <row r="63" spans="1:112">
      <c r="A63" s="204">
        <v>436</v>
      </c>
      <c r="B63" s="204">
        <v>2</v>
      </c>
      <c r="C63" s="204">
        <v>9485</v>
      </c>
      <c r="D63" s="204">
        <v>0</v>
      </c>
      <c r="E63" s="204">
        <v>436</v>
      </c>
      <c r="F63" s="204">
        <v>0</v>
      </c>
      <c r="G63" s="204">
        <v>436</v>
      </c>
      <c r="H63" s="204" t="s">
        <v>385</v>
      </c>
      <c r="I63" s="354">
        <v>37462</v>
      </c>
      <c r="J63" s="204" t="s">
        <v>385</v>
      </c>
      <c r="K63" s="204" t="s">
        <v>1332</v>
      </c>
      <c r="L63" s="204" t="s">
        <v>1247</v>
      </c>
      <c r="M63" s="204" t="s">
        <v>386</v>
      </c>
      <c r="N63" s="353">
        <v>100</v>
      </c>
      <c r="P63" s="204" t="s">
        <v>387</v>
      </c>
      <c r="R63" s="204" t="s">
        <v>1248</v>
      </c>
      <c r="S63" s="353">
        <v>0</v>
      </c>
      <c r="T63" s="204" t="s">
        <v>388</v>
      </c>
      <c r="U63" s="204" t="s">
        <v>307</v>
      </c>
      <c r="W63" s="204" t="s">
        <v>389</v>
      </c>
      <c r="X63" s="204" t="s">
        <v>1381</v>
      </c>
      <c r="Z63" s="204" t="s">
        <v>309</v>
      </c>
      <c r="AA63" s="204" t="s">
        <v>310</v>
      </c>
      <c r="AB63" s="204" t="s">
        <v>1382</v>
      </c>
      <c r="AC63" s="204" t="s">
        <v>1259</v>
      </c>
      <c r="AD63" s="204" t="s">
        <v>1251</v>
      </c>
      <c r="AE63" s="353">
        <v>283600</v>
      </c>
      <c r="AF63" s="353">
        <v>916400</v>
      </c>
      <c r="AG63" s="353">
        <v>0</v>
      </c>
      <c r="AH63" s="204" t="s">
        <v>298</v>
      </c>
      <c r="AI63" s="353">
        <v>0</v>
      </c>
      <c r="AJ63" s="353">
        <v>3</v>
      </c>
      <c r="AK63" s="353">
        <v>0</v>
      </c>
      <c r="AL63" s="353">
        <v>0</v>
      </c>
      <c r="AM63" s="353">
        <v>0</v>
      </c>
      <c r="AQ63" s="353">
        <v>0</v>
      </c>
      <c r="BC63" s="353">
        <v>0</v>
      </c>
      <c r="BD63" s="353">
        <v>0</v>
      </c>
      <c r="BF63" s="353">
        <v>0</v>
      </c>
      <c r="BG63" s="204" t="s">
        <v>1248</v>
      </c>
      <c r="BH63" s="204" t="s">
        <v>1248</v>
      </c>
      <c r="BJ63" s="204" t="s">
        <v>1270</v>
      </c>
      <c r="BK63" s="353">
        <v>8711</v>
      </c>
      <c r="BL63" s="353">
        <v>2</v>
      </c>
      <c r="BM63" s="353">
        <v>12</v>
      </c>
      <c r="BN63" s="353">
        <v>12</v>
      </c>
      <c r="BO63" s="353">
        <v>0</v>
      </c>
      <c r="BP63" s="353">
        <v>0</v>
      </c>
      <c r="BQ63" s="353">
        <v>726</v>
      </c>
      <c r="BR63" s="204" t="s">
        <v>1261</v>
      </c>
      <c r="BS63" s="204" t="s">
        <v>1248</v>
      </c>
      <c r="BT63" s="353">
        <v>4</v>
      </c>
      <c r="BU63" s="353">
        <v>10000</v>
      </c>
      <c r="BV63" s="204" t="s">
        <v>1248</v>
      </c>
      <c r="BW63" s="204" t="s">
        <v>1253</v>
      </c>
      <c r="BX63" s="204" t="s">
        <v>1248</v>
      </c>
      <c r="BY63" s="204" t="s">
        <v>1248</v>
      </c>
      <c r="BZ63" s="204" t="s">
        <v>458</v>
      </c>
      <c r="CA63" s="353">
        <v>8711</v>
      </c>
      <c r="CB63" s="353">
        <v>400.058354769</v>
      </c>
      <c r="CC63" s="204" t="s">
        <v>299</v>
      </c>
      <c r="CD63" s="204" t="s">
        <v>300</v>
      </c>
      <c r="CE63" s="204" t="s">
        <v>301</v>
      </c>
      <c r="CF63" s="204" t="s">
        <v>448</v>
      </c>
      <c r="CG63" s="204" t="s">
        <v>1256</v>
      </c>
      <c r="CH63" s="204" t="s">
        <v>204</v>
      </c>
      <c r="CI63" s="204" t="s">
        <v>359</v>
      </c>
      <c r="CJ63" s="204" t="s">
        <v>302</v>
      </c>
      <c r="CK63" s="353">
        <v>-9999</v>
      </c>
      <c r="CM63" s="353">
        <v>1</v>
      </c>
      <c r="CN63" s="204" t="s">
        <v>1264</v>
      </c>
      <c r="CO63" s="353">
        <v>-9999</v>
      </c>
      <c r="CS63" s="353">
        <v>-9999</v>
      </c>
      <c r="CT63" s="353">
        <v>-9999</v>
      </c>
      <c r="CV63" s="204" t="s">
        <v>1336</v>
      </c>
      <c r="CW63" s="353">
        <v>1.36126319608E-5</v>
      </c>
      <c r="CX63" s="204">
        <v>436</v>
      </c>
      <c r="CY63" s="204">
        <v>0</v>
      </c>
      <c r="CZ63" s="204">
        <v>0</v>
      </c>
      <c r="DA63" s="204">
        <v>10</v>
      </c>
      <c r="DB63" s="353">
        <v>0</v>
      </c>
      <c r="DC63" s="353">
        <v>0</v>
      </c>
      <c r="DD63" s="204">
        <v>10</v>
      </c>
      <c r="DE63" s="353">
        <v>0</v>
      </c>
      <c r="DF63" s="353">
        <v>0</v>
      </c>
      <c r="DG63" s="353">
        <v>1.7718345864499999E-2</v>
      </c>
      <c r="DH63" s="353">
        <v>10002.3434652</v>
      </c>
    </row>
    <row r="64" spans="1:112">
      <c r="A64" s="204">
        <v>437</v>
      </c>
      <c r="B64" s="204">
        <v>1</v>
      </c>
      <c r="C64" s="204">
        <v>9488</v>
      </c>
      <c r="D64" s="204">
        <v>0</v>
      </c>
      <c r="E64" s="204">
        <v>437</v>
      </c>
      <c r="F64" s="204">
        <v>0</v>
      </c>
      <c r="G64" s="204">
        <v>437</v>
      </c>
      <c r="H64" s="204" t="s">
        <v>470</v>
      </c>
      <c r="I64" s="354">
        <v>37462</v>
      </c>
      <c r="J64" s="204" t="s">
        <v>470</v>
      </c>
      <c r="K64" s="204" t="s">
        <v>1332</v>
      </c>
      <c r="L64" s="204" t="s">
        <v>1247</v>
      </c>
      <c r="M64" s="204" t="s">
        <v>471</v>
      </c>
      <c r="N64" s="353">
        <v>100</v>
      </c>
      <c r="O64" s="204" t="s">
        <v>1383</v>
      </c>
      <c r="P64" s="204" t="s">
        <v>472</v>
      </c>
      <c r="R64" s="204" t="s">
        <v>1248</v>
      </c>
      <c r="S64" s="353">
        <v>0</v>
      </c>
      <c r="T64" s="204" t="s">
        <v>462</v>
      </c>
      <c r="U64" s="204" t="s">
        <v>294</v>
      </c>
      <c r="W64" s="204" t="s">
        <v>473</v>
      </c>
      <c r="X64" s="204" t="s">
        <v>1347</v>
      </c>
      <c r="Z64" s="204" t="s">
        <v>309</v>
      </c>
      <c r="AA64" s="204" t="s">
        <v>310</v>
      </c>
      <c r="AB64" s="204" t="s">
        <v>1379</v>
      </c>
      <c r="AC64" s="204" t="s">
        <v>1278</v>
      </c>
      <c r="AD64" s="204" t="s">
        <v>384</v>
      </c>
      <c r="AE64" s="353">
        <v>150718</v>
      </c>
      <c r="AF64" s="353">
        <v>68498</v>
      </c>
      <c r="AG64" s="353">
        <v>0</v>
      </c>
      <c r="AH64" s="204" t="s">
        <v>423</v>
      </c>
      <c r="AI64" s="353">
        <v>1</v>
      </c>
      <c r="AJ64" s="353">
        <v>1</v>
      </c>
      <c r="AK64" s="353">
        <v>2</v>
      </c>
      <c r="AL64" s="353">
        <v>2</v>
      </c>
      <c r="AM64" s="353">
        <v>8</v>
      </c>
      <c r="AN64" s="204" t="s">
        <v>186</v>
      </c>
      <c r="AO64" s="204" t="s">
        <v>1248</v>
      </c>
      <c r="AP64" s="204" t="s">
        <v>1248</v>
      </c>
      <c r="AQ64" s="353">
        <v>0</v>
      </c>
      <c r="AR64" s="204" t="s">
        <v>1248</v>
      </c>
      <c r="AS64" s="204" t="s">
        <v>1248</v>
      </c>
      <c r="AT64" s="204" t="s">
        <v>1248</v>
      </c>
      <c r="AU64" s="204" t="s">
        <v>1248</v>
      </c>
      <c r="AV64" s="204" t="s">
        <v>453</v>
      </c>
      <c r="AW64" s="204" t="s">
        <v>1248</v>
      </c>
      <c r="AX64" s="204" t="s">
        <v>1253</v>
      </c>
      <c r="AY64" s="204" t="s">
        <v>302</v>
      </c>
      <c r="AZ64" s="204" t="s">
        <v>1248</v>
      </c>
      <c r="BB64" s="204" t="s">
        <v>453</v>
      </c>
      <c r="BC64" s="353">
        <v>5400</v>
      </c>
      <c r="BD64" s="353">
        <v>1843</v>
      </c>
      <c r="BE64" s="204" t="s">
        <v>723</v>
      </c>
      <c r="BF64" s="353">
        <v>0</v>
      </c>
      <c r="BG64" s="204" t="s">
        <v>1248</v>
      </c>
      <c r="BH64" s="204" t="s">
        <v>1248</v>
      </c>
      <c r="BI64" s="204" t="s">
        <v>723</v>
      </c>
      <c r="BK64" s="353">
        <v>0</v>
      </c>
      <c r="BL64" s="353">
        <v>0</v>
      </c>
      <c r="BM64" s="353">
        <v>0</v>
      </c>
      <c r="BN64" s="353">
        <v>0</v>
      </c>
      <c r="BO64" s="353">
        <v>0</v>
      </c>
      <c r="BP64" s="353">
        <v>0</v>
      </c>
      <c r="BQ64" s="353">
        <v>0</v>
      </c>
      <c r="BT64" s="353">
        <v>0</v>
      </c>
      <c r="BU64" s="353">
        <v>0</v>
      </c>
      <c r="CA64" s="353">
        <v>0</v>
      </c>
      <c r="CB64" s="353">
        <v>306.01846930800002</v>
      </c>
      <c r="CC64" s="204" t="s">
        <v>425</v>
      </c>
      <c r="CD64" s="204" t="s">
        <v>300</v>
      </c>
      <c r="CE64" s="204" t="s">
        <v>301</v>
      </c>
      <c r="CF64" s="204" t="s">
        <v>448</v>
      </c>
      <c r="CG64" s="204" t="s">
        <v>1256</v>
      </c>
      <c r="CH64" s="204" t="s">
        <v>204</v>
      </c>
      <c r="CJ64" s="204" t="s">
        <v>302</v>
      </c>
      <c r="CK64" s="353">
        <v>-9999</v>
      </c>
      <c r="CM64" s="353">
        <v>1</v>
      </c>
      <c r="CN64" s="204" t="s">
        <v>1264</v>
      </c>
      <c r="CO64" s="353">
        <v>-9999</v>
      </c>
      <c r="CS64" s="353">
        <v>-9999</v>
      </c>
      <c r="CT64" s="353">
        <v>-9999</v>
      </c>
      <c r="CV64" s="204" t="s">
        <v>1336</v>
      </c>
      <c r="CW64" s="353">
        <v>1.36126319608E-5</v>
      </c>
      <c r="CX64" s="204">
        <v>437</v>
      </c>
      <c r="CY64" s="204">
        <v>0</v>
      </c>
      <c r="CZ64" s="204">
        <v>0</v>
      </c>
      <c r="DA64" s="204">
        <v>10</v>
      </c>
      <c r="DB64" s="353">
        <v>0</v>
      </c>
      <c r="DC64" s="353">
        <v>0</v>
      </c>
      <c r="DD64" s="204">
        <v>10</v>
      </c>
      <c r="DE64" s="353">
        <v>0</v>
      </c>
      <c r="DF64" s="353">
        <v>0</v>
      </c>
      <c r="DG64" s="353">
        <v>1.7718345864499999E-2</v>
      </c>
      <c r="DH64" s="353">
        <v>5334.0129295200004</v>
      </c>
    </row>
    <row r="65" spans="1:112">
      <c r="A65" s="204">
        <v>438</v>
      </c>
      <c r="B65" s="204">
        <v>1</v>
      </c>
      <c r="C65" s="204">
        <v>9489</v>
      </c>
      <c r="D65" s="204">
        <v>0</v>
      </c>
      <c r="E65" s="204">
        <v>438</v>
      </c>
      <c r="F65" s="204">
        <v>0</v>
      </c>
      <c r="G65" s="204">
        <v>438</v>
      </c>
      <c r="H65" s="204" t="s">
        <v>474</v>
      </c>
      <c r="I65" s="354">
        <v>37462</v>
      </c>
      <c r="J65" s="204" t="s">
        <v>474</v>
      </c>
      <c r="K65" s="204" t="s">
        <v>1332</v>
      </c>
      <c r="L65" s="204" t="s">
        <v>1271</v>
      </c>
      <c r="M65" s="204" t="s">
        <v>475</v>
      </c>
      <c r="N65" s="353">
        <v>100</v>
      </c>
      <c r="P65" s="204" t="s">
        <v>476</v>
      </c>
      <c r="R65" s="204" t="s">
        <v>1248</v>
      </c>
      <c r="S65" s="353">
        <v>0</v>
      </c>
      <c r="T65" s="204" t="s">
        <v>462</v>
      </c>
      <c r="U65" s="204" t="s">
        <v>294</v>
      </c>
      <c r="W65" s="204" t="s">
        <v>477</v>
      </c>
      <c r="Z65" s="204" t="s">
        <v>309</v>
      </c>
      <c r="AA65" s="204" t="s">
        <v>310</v>
      </c>
      <c r="AB65" s="204" t="s">
        <v>1379</v>
      </c>
      <c r="AC65" s="204" t="s">
        <v>1278</v>
      </c>
      <c r="AD65" s="204" t="s">
        <v>384</v>
      </c>
      <c r="AE65" s="353">
        <v>135404</v>
      </c>
      <c r="AF65" s="353">
        <v>51401</v>
      </c>
      <c r="AG65" s="353">
        <v>0</v>
      </c>
      <c r="AH65" s="204" t="s">
        <v>423</v>
      </c>
      <c r="AI65" s="353">
        <v>1</v>
      </c>
      <c r="AJ65" s="353">
        <v>1</v>
      </c>
      <c r="AK65" s="353">
        <v>2</v>
      </c>
      <c r="AL65" s="353">
        <v>2</v>
      </c>
      <c r="AM65" s="353">
        <v>7</v>
      </c>
      <c r="AN65" s="204" t="s">
        <v>186</v>
      </c>
      <c r="AO65" s="204" t="s">
        <v>1261</v>
      </c>
      <c r="AP65" s="204" t="s">
        <v>1248</v>
      </c>
      <c r="AQ65" s="353">
        <v>1</v>
      </c>
      <c r="AR65" s="204" t="s">
        <v>1296</v>
      </c>
      <c r="AS65" s="204" t="s">
        <v>1248</v>
      </c>
      <c r="AT65" s="204" t="s">
        <v>1248</v>
      </c>
      <c r="AU65" s="204" t="s">
        <v>1248</v>
      </c>
      <c r="AV65" s="204" t="s">
        <v>478</v>
      </c>
      <c r="AW65" s="204" t="s">
        <v>1248</v>
      </c>
      <c r="AX65" s="204" t="s">
        <v>1253</v>
      </c>
      <c r="AY65" s="204" t="s">
        <v>302</v>
      </c>
      <c r="AZ65" s="204" t="s">
        <v>1248</v>
      </c>
      <c r="BA65" s="204" t="s">
        <v>1248</v>
      </c>
      <c r="BB65" s="204" t="s">
        <v>478</v>
      </c>
      <c r="BC65" s="353">
        <v>4600</v>
      </c>
      <c r="BD65" s="353">
        <v>1462</v>
      </c>
      <c r="BE65" s="204" t="s">
        <v>723</v>
      </c>
      <c r="BF65" s="353">
        <v>0</v>
      </c>
      <c r="BG65" s="204" t="s">
        <v>1248</v>
      </c>
      <c r="BH65" s="204" t="s">
        <v>1248</v>
      </c>
      <c r="BI65" s="204" t="s">
        <v>723</v>
      </c>
      <c r="BK65" s="353">
        <v>0</v>
      </c>
      <c r="BL65" s="353">
        <v>0</v>
      </c>
      <c r="BM65" s="353">
        <v>0</v>
      </c>
      <c r="BN65" s="353">
        <v>0</v>
      </c>
      <c r="BO65" s="353">
        <v>0</v>
      </c>
      <c r="BP65" s="353">
        <v>0</v>
      </c>
      <c r="BQ65" s="353">
        <v>0</v>
      </c>
      <c r="BT65" s="353">
        <v>0</v>
      </c>
      <c r="BU65" s="353">
        <v>0</v>
      </c>
      <c r="CA65" s="353">
        <v>0</v>
      </c>
      <c r="CB65" s="353">
        <v>291.153600998</v>
      </c>
      <c r="CC65" s="204" t="s">
        <v>425</v>
      </c>
      <c r="CD65" s="204" t="s">
        <v>300</v>
      </c>
      <c r="CE65" s="204" t="s">
        <v>301</v>
      </c>
      <c r="CF65" s="204" t="s">
        <v>448</v>
      </c>
      <c r="CG65" s="204" t="s">
        <v>1256</v>
      </c>
      <c r="CH65" s="204" t="s">
        <v>204</v>
      </c>
      <c r="CJ65" s="204" t="s">
        <v>302</v>
      </c>
      <c r="CK65" s="353">
        <v>-9999</v>
      </c>
      <c r="CM65" s="353">
        <v>1</v>
      </c>
      <c r="CN65" s="204" t="s">
        <v>1264</v>
      </c>
      <c r="CO65" s="353">
        <v>-9999</v>
      </c>
      <c r="CS65" s="353">
        <v>-9999</v>
      </c>
      <c r="CT65" s="353">
        <v>-9999</v>
      </c>
      <c r="CV65" s="204" t="s">
        <v>1336</v>
      </c>
      <c r="CW65" s="353">
        <v>1.36126319608E-5</v>
      </c>
      <c r="CX65" s="204">
        <v>438</v>
      </c>
      <c r="CY65" s="204">
        <v>0</v>
      </c>
      <c r="CZ65" s="204">
        <v>0</v>
      </c>
      <c r="DA65" s="204">
        <v>10</v>
      </c>
      <c r="DB65" s="353">
        <v>0</v>
      </c>
      <c r="DC65" s="353">
        <v>0</v>
      </c>
      <c r="DD65" s="204">
        <v>10</v>
      </c>
      <c r="DE65" s="353">
        <v>0</v>
      </c>
      <c r="DF65" s="353">
        <v>0</v>
      </c>
      <c r="DG65" s="353">
        <v>1.7718345864499999E-2</v>
      </c>
      <c r="DH65" s="353">
        <v>4583.0212563300001</v>
      </c>
    </row>
    <row r="66" spans="1:112">
      <c r="A66" s="204">
        <v>439</v>
      </c>
      <c r="B66" s="204">
        <v>1</v>
      </c>
      <c r="C66" s="204">
        <v>9492</v>
      </c>
      <c r="D66" s="204">
        <v>0</v>
      </c>
      <c r="E66" s="204">
        <v>439</v>
      </c>
      <c r="F66" s="204">
        <v>0</v>
      </c>
      <c r="G66" s="204">
        <v>439</v>
      </c>
      <c r="H66" s="204" t="s">
        <v>547</v>
      </c>
      <c r="I66" s="354">
        <v>37462</v>
      </c>
      <c r="J66" s="204" t="s">
        <v>547</v>
      </c>
      <c r="K66" s="204" t="s">
        <v>1332</v>
      </c>
      <c r="L66" s="204" t="s">
        <v>1247</v>
      </c>
      <c r="M66" s="204" t="s">
        <v>548</v>
      </c>
      <c r="N66" s="353">
        <v>100</v>
      </c>
      <c r="O66" s="204" t="s">
        <v>1384</v>
      </c>
      <c r="P66" s="204" t="s">
        <v>549</v>
      </c>
      <c r="R66" s="204" t="s">
        <v>1248</v>
      </c>
      <c r="S66" s="353">
        <v>0</v>
      </c>
      <c r="T66" s="204" t="s">
        <v>462</v>
      </c>
      <c r="U66" s="204" t="s">
        <v>294</v>
      </c>
      <c r="W66" s="204" t="s">
        <v>550</v>
      </c>
      <c r="Z66" s="204" t="s">
        <v>309</v>
      </c>
      <c r="AA66" s="204" t="s">
        <v>310</v>
      </c>
      <c r="AB66" s="204" t="s">
        <v>1385</v>
      </c>
      <c r="AC66" s="204" t="s">
        <v>1250</v>
      </c>
      <c r="AD66" s="204" t="s">
        <v>1251</v>
      </c>
      <c r="AE66" s="353">
        <v>182000</v>
      </c>
      <c r="AF66" s="353">
        <v>298000</v>
      </c>
      <c r="AG66" s="353">
        <v>0</v>
      </c>
      <c r="AH66" s="204" t="s">
        <v>298</v>
      </c>
      <c r="AI66" s="353">
        <v>1</v>
      </c>
      <c r="AJ66" s="353">
        <v>1</v>
      </c>
      <c r="AK66" s="353">
        <v>0</v>
      </c>
      <c r="AL66" s="353">
        <v>0</v>
      </c>
      <c r="AM66" s="353">
        <v>0</v>
      </c>
      <c r="AQ66" s="353">
        <v>0</v>
      </c>
      <c r="BC66" s="353">
        <v>0</v>
      </c>
      <c r="BD66" s="353">
        <v>0</v>
      </c>
      <c r="BF66" s="353">
        <v>0</v>
      </c>
      <c r="BG66" s="204" t="s">
        <v>1248</v>
      </c>
      <c r="BH66" s="204" t="s">
        <v>1248</v>
      </c>
      <c r="BJ66" s="204" t="s">
        <v>1301</v>
      </c>
      <c r="BK66" s="353">
        <v>4224</v>
      </c>
      <c r="BL66" s="353">
        <v>2</v>
      </c>
      <c r="BM66" s="353">
        <v>4</v>
      </c>
      <c r="BN66" s="353">
        <v>4</v>
      </c>
      <c r="BO66" s="353">
        <v>0</v>
      </c>
      <c r="BP66" s="353">
        <v>0</v>
      </c>
      <c r="BQ66" s="353">
        <v>1056</v>
      </c>
      <c r="BR66" s="204" t="s">
        <v>1261</v>
      </c>
      <c r="BS66" s="204" t="s">
        <v>1248</v>
      </c>
      <c r="BT66" s="353">
        <v>4</v>
      </c>
      <c r="BU66" s="353">
        <v>5000</v>
      </c>
      <c r="BV66" s="204" t="s">
        <v>1248</v>
      </c>
      <c r="BW66" s="204" t="s">
        <v>1253</v>
      </c>
      <c r="BX66" s="204" t="s">
        <v>1248</v>
      </c>
      <c r="BY66" s="204" t="s">
        <v>1248</v>
      </c>
      <c r="BZ66" s="204" t="s">
        <v>453</v>
      </c>
      <c r="CA66" s="353">
        <v>4224</v>
      </c>
      <c r="CB66" s="353">
        <v>302.334240362</v>
      </c>
      <c r="CC66" s="204" t="s">
        <v>517</v>
      </c>
      <c r="CD66" s="204" t="s">
        <v>300</v>
      </c>
      <c r="CE66" s="204" t="s">
        <v>301</v>
      </c>
      <c r="CF66" s="204" t="s">
        <v>1351</v>
      </c>
      <c r="CG66" s="204" t="s">
        <v>1256</v>
      </c>
      <c r="CH66" s="204" t="s">
        <v>204</v>
      </c>
      <c r="CJ66" s="204" t="s">
        <v>302</v>
      </c>
      <c r="CK66" s="353">
        <v>-9999</v>
      </c>
      <c r="CM66" s="353">
        <v>3</v>
      </c>
      <c r="CN66" s="204" t="s">
        <v>1264</v>
      </c>
      <c r="CO66" s="353">
        <v>-9999</v>
      </c>
      <c r="CS66" s="353">
        <v>-9999</v>
      </c>
      <c r="CT66" s="353">
        <v>-9999</v>
      </c>
      <c r="CV66" s="204" t="s">
        <v>1336</v>
      </c>
      <c r="CW66" s="353">
        <v>7.7345308171899998E-5</v>
      </c>
      <c r="CX66" s="204">
        <v>439</v>
      </c>
      <c r="CY66" s="204">
        <v>0</v>
      </c>
      <c r="CZ66" s="204">
        <v>0</v>
      </c>
      <c r="DA66" s="204">
        <v>10</v>
      </c>
      <c r="DB66" s="353">
        <v>0</v>
      </c>
      <c r="DC66" s="353">
        <v>0</v>
      </c>
      <c r="DD66" s="204">
        <v>10</v>
      </c>
      <c r="DE66" s="353">
        <v>0</v>
      </c>
      <c r="DF66" s="353">
        <v>0</v>
      </c>
      <c r="DG66" s="353">
        <v>7.0456173102999994E-2</v>
      </c>
      <c r="DH66" s="353">
        <v>5174.4373121799999</v>
      </c>
    </row>
    <row r="67" spans="1:112">
      <c r="A67" s="204">
        <v>440</v>
      </c>
      <c r="B67" s="204">
        <v>2</v>
      </c>
      <c r="C67" s="204">
        <v>9495</v>
      </c>
      <c r="D67" s="204">
        <v>0</v>
      </c>
      <c r="E67" s="204">
        <v>440</v>
      </c>
      <c r="F67" s="204">
        <v>0</v>
      </c>
      <c r="G67" s="204">
        <v>440</v>
      </c>
      <c r="H67" s="204" t="s">
        <v>360</v>
      </c>
      <c r="I67" s="354">
        <v>37462</v>
      </c>
      <c r="J67" s="204" t="s">
        <v>360</v>
      </c>
      <c r="K67" s="204" t="s">
        <v>1332</v>
      </c>
      <c r="L67" s="204" t="s">
        <v>1247</v>
      </c>
      <c r="M67" s="204" t="s">
        <v>317</v>
      </c>
      <c r="N67" s="353">
        <v>100</v>
      </c>
      <c r="P67" s="204" t="s">
        <v>361</v>
      </c>
      <c r="R67" s="204" t="s">
        <v>1248</v>
      </c>
      <c r="S67" s="353">
        <v>0</v>
      </c>
      <c r="T67" s="204" t="s">
        <v>362</v>
      </c>
      <c r="U67" s="204" t="s">
        <v>307</v>
      </c>
      <c r="W67" s="204" t="s">
        <v>363</v>
      </c>
      <c r="Z67" s="204" t="s">
        <v>309</v>
      </c>
      <c r="AA67" s="204" t="s">
        <v>310</v>
      </c>
      <c r="AB67" s="204" t="s">
        <v>1386</v>
      </c>
      <c r="AC67" s="204" t="s">
        <v>1259</v>
      </c>
      <c r="AD67" s="204" t="s">
        <v>1251</v>
      </c>
      <c r="AE67" s="353">
        <v>262302</v>
      </c>
      <c r="AF67" s="353">
        <v>502749</v>
      </c>
      <c r="AG67" s="353">
        <v>0</v>
      </c>
      <c r="AH67" s="204" t="s">
        <v>298</v>
      </c>
      <c r="AI67" s="353">
        <v>0</v>
      </c>
      <c r="AJ67" s="353">
        <v>9</v>
      </c>
      <c r="AK67" s="353">
        <v>0</v>
      </c>
      <c r="AL67" s="353">
        <v>0</v>
      </c>
      <c r="AM67" s="353">
        <v>0</v>
      </c>
      <c r="AQ67" s="353">
        <v>0</v>
      </c>
      <c r="BC67" s="353">
        <v>0</v>
      </c>
      <c r="BD67" s="353">
        <v>0</v>
      </c>
      <c r="BF67" s="353">
        <v>0</v>
      </c>
      <c r="BG67" s="204" t="s">
        <v>1248</v>
      </c>
      <c r="BH67" s="204" t="s">
        <v>1248</v>
      </c>
      <c r="BJ67" s="204" t="s">
        <v>1270</v>
      </c>
      <c r="BK67" s="353">
        <v>4440</v>
      </c>
      <c r="BL67" s="353">
        <v>1</v>
      </c>
      <c r="BM67" s="353">
        <v>8</v>
      </c>
      <c r="BN67" s="353">
        <v>8</v>
      </c>
      <c r="BO67" s="353">
        <v>0</v>
      </c>
      <c r="BP67" s="353">
        <v>0</v>
      </c>
      <c r="BQ67" s="353">
        <v>555</v>
      </c>
      <c r="BR67" s="204" t="s">
        <v>1261</v>
      </c>
      <c r="BS67" s="204" t="s">
        <v>1248</v>
      </c>
      <c r="BT67" s="353">
        <v>8</v>
      </c>
      <c r="BU67" s="353">
        <v>10000</v>
      </c>
      <c r="BV67" s="204" t="s">
        <v>1248</v>
      </c>
      <c r="BW67" s="204" t="s">
        <v>1253</v>
      </c>
      <c r="BX67" s="204" t="s">
        <v>1248</v>
      </c>
      <c r="BY67" s="204" t="s">
        <v>1248</v>
      </c>
      <c r="BZ67" s="204" t="s">
        <v>1254</v>
      </c>
      <c r="CA67" s="353">
        <v>4440</v>
      </c>
      <c r="CB67" s="353">
        <v>399.36410735599998</v>
      </c>
      <c r="CC67" s="204" t="s">
        <v>299</v>
      </c>
      <c r="CD67" s="204" t="s">
        <v>300</v>
      </c>
      <c r="CE67" s="204" t="s">
        <v>301</v>
      </c>
      <c r="CF67" s="204" t="s">
        <v>1351</v>
      </c>
      <c r="CG67" s="204" t="s">
        <v>1256</v>
      </c>
      <c r="CH67" s="204" t="s">
        <v>204</v>
      </c>
      <c r="CI67" s="204" t="s">
        <v>359</v>
      </c>
      <c r="CJ67" s="204" t="s">
        <v>302</v>
      </c>
      <c r="CK67" s="353">
        <v>-9999</v>
      </c>
      <c r="CM67" s="353">
        <v>3</v>
      </c>
      <c r="CN67" s="204" t="s">
        <v>1264</v>
      </c>
      <c r="CO67" s="353">
        <v>-9999</v>
      </c>
      <c r="CS67" s="353">
        <v>-9999</v>
      </c>
      <c r="CT67" s="353">
        <v>-9999</v>
      </c>
      <c r="CV67" s="204" t="s">
        <v>1336</v>
      </c>
      <c r="CW67" s="353">
        <v>7.7345308171899998E-5</v>
      </c>
      <c r="CX67" s="204">
        <v>440</v>
      </c>
      <c r="CY67" s="204">
        <v>0</v>
      </c>
      <c r="CZ67" s="204">
        <v>0</v>
      </c>
      <c r="DA67" s="204">
        <v>10</v>
      </c>
      <c r="DB67" s="353">
        <v>0</v>
      </c>
      <c r="DC67" s="353">
        <v>0</v>
      </c>
      <c r="DD67" s="204">
        <v>10</v>
      </c>
      <c r="DE67" s="353">
        <v>0</v>
      </c>
      <c r="DF67" s="353">
        <v>0</v>
      </c>
      <c r="DG67" s="353">
        <v>7.0456173102999994E-2</v>
      </c>
      <c r="DH67" s="353">
        <v>9966.4843508699996</v>
      </c>
    </row>
    <row r="68" spans="1:112">
      <c r="A68" s="204">
        <v>454</v>
      </c>
      <c r="B68" s="204">
        <v>2</v>
      </c>
      <c r="C68" s="204">
        <v>9676</v>
      </c>
      <c r="D68" s="204">
        <v>0</v>
      </c>
      <c r="E68" s="204">
        <v>454</v>
      </c>
      <c r="F68" s="204">
        <v>0</v>
      </c>
      <c r="G68" s="204">
        <v>454</v>
      </c>
      <c r="H68" s="204" t="s">
        <v>551</v>
      </c>
      <c r="I68" s="354">
        <v>37462</v>
      </c>
      <c r="J68" s="204" t="s">
        <v>551</v>
      </c>
      <c r="K68" s="204" t="s">
        <v>1332</v>
      </c>
      <c r="L68" s="204" t="s">
        <v>1288</v>
      </c>
      <c r="M68" s="204" t="s">
        <v>552</v>
      </c>
      <c r="N68" s="353">
        <v>100</v>
      </c>
      <c r="O68" s="204" t="s">
        <v>1387</v>
      </c>
      <c r="P68" s="204" t="s">
        <v>553</v>
      </c>
      <c r="R68" s="204" t="s">
        <v>1248</v>
      </c>
      <c r="S68" s="353">
        <v>0.15</v>
      </c>
      <c r="T68" s="204" t="s">
        <v>507</v>
      </c>
      <c r="U68" s="204" t="s">
        <v>307</v>
      </c>
      <c r="W68" s="204" t="s">
        <v>308</v>
      </c>
      <c r="Z68" s="204" t="s">
        <v>309</v>
      </c>
      <c r="AA68" s="204" t="s">
        <v>310</v>
      </c>
      <c r="AB68" s="204" t="s">
        <v>1388</v>
      </c>
      <c r="AC68" s="204" t="s">
        <v>1250</v>
      </c>
      <c r="AD68" s="204" t="s">
        <v>1251</v>
      </c>
      <c r="AE68" s="353">
        <v>50227</v>
      </c>
      <c r="AF68" s="353">
        <v>247016</v>
      </c>
      <c r="AG68" s="353">
        <v>0</v>
      </c>
      <c r="AH68" s="204" t="s">
        <v>298</v>
      </c>
      <c r="AI68" s="353">
        <v>1</v>
      </c>
      <c r="AJ68" s="353">
        <v>1</v>
      </c>
      <c r="AK68" s="353">
        <v>0</v>
      </c>
      <c r="AL68" s="353">
        <v>0</v>
      </c>
      <c r="AM68" s="353">
        <v>0</v>
      </c>
      <c r="AQ68" s="353">
        <v>0</v>
      </c>
      <c r="BC68" s="353">
        <v>0</v>
      </c>
      <c r="BD68" s="353">
        <v>0</v>
      </c>
      <c r="BF68" s="353">
        <v>0</v>
      </c>
      <c r="BG68" s="204" t="s">
        <v>1248</v>
      </c>
      <c r="BH68" s="204" t="s">
        <v>1248</v>
      </c>
      <c r="BJ68" s="204" t="s">
        <v>1301</v>
      </c>
      <c r="BK68" s="353">
        <v>2320</v>
      </c>
      <c r="BL68" s="353">
        <v>2</v>
      </c>
      <c r="BM68" s="353">
        <v>4</v>
      </c>
      <c r="BN68" s="353">
        <v>2</v>
      </c>
      <c r="BO68" s="353">
        <v>0</v>
      </c>
      <c r="BP68" s="353">
        <v>0</v>
      </c>
      <c r="BQ68" s="353">
        <v>580</v>
      </c>
      <c r="BR68" s="204" t="s">
        <v>1261</v>
      </c>
      <c r="BS68" s="204" t="s">
        <v>1248</v>
      </c>
      <c r="BT68" s="353">
        <v>4</v>
      </c>
      <c r="BU68" s="353">
        <v>6534</v>
      </c>
      <c r="BV68" s="204" t="s">
        <v>1248</v>
      </c>
      <c r="BW68" s="204" t="s">
        <v>1253</v>
      </c>
      <c r="BX68" s="204" t="s">
        <v>1248</v>
      </c>
      <c r="BY68" s="204" t="s">
        <v>1248</v>
      </c>
      <c r="BZ68" s="204" t="s">
        <v>631</v>
      </c>
      <c r="CA68" s="353">
        <v>2320</v>
      </c>
      <c r="CB68" s="353">
        <v>355.16697140899998</v>
      </c>
      <c r="CC68" s="204" t="s">
        <v>517</v>
      </c>
      <c r="CD68" s="204" t="s">
        <v>300</v>
      </c>
      <c r="CE68" s="204" t="s">
        <v>301</v>
      </c>
      <c r="CF68" s="204" t="s">
        <v>1389</v>
      </c>
      <c r="CG68" s="204" t="s">
        <v>1256</v>
      </c>
      <c r="CH68" s="204" t="s">
        <v>204</v>
      </c>
      <c r="CJ68" s="204" t="s">
        <v>302</v>
      </c>
      <c r="CK68" s="353">
        <v>-9999</v>
      </c>
      <c r="CM68" s="353">
        <v>2</v>
      </c>
      <c r="CN68" s="204" t="s">
        <v>1264</v>
      </c>
      <c r="CO68" s="353">
        <v>-9999</v>
      </c>
      <c r="CS68" s="353">
        <v>-9999</v>
      </c>
      <c r="CT68" s="353">
        <v>-9999</v>
      </c>
      <c r="CV68" s="204" t="s">
        <v>1336</v>
      </c>
      <c r="CW68" s="353">
        <v>1.05362509233E-5</v>
      </c>
      <c r="CX68" s="204">
        <v>454</v>
      </c>
      <c r="CY68" s="204">
        <v>0</v>
      </c>
      <c r="CZ68" s="204">
        <v>0</v>
      </c>
      <c r="DA68" s="204">
        <v>10</v>
      </c>
      <c r="DB68" s="353">
        <v>0</v>
      </c>
      <c r="DC68" s="353">
        <v>0</v>
      </c>
      <c r="DD68" s="204">
        <v>10</v>
      </c>
      <c r="DE68" s="353">
        <v>0</v>
      </c>
      <c r="DF68" s="353">
        <v>0</v>
      </c>
      <c r="DG68" s="353">
        <v>2.34598251706E-2</v>
      </c>
      <c r="DH68" s="353">
        <v>6583.7446226000002</v>
      </c>
    </row>
    <row r="69" spans="1:112">
      <c r="A69" s="204">
        <v>455</v>
      </c>
      <c r="B69" s="204">
        <v>1</v>
      </c>
      <c r="C69" s="204">
        <v>9683</v>
      </c>
      <c r="D69" s="204">
        <v>0</v>
      </c>
      <c r="E69" s="204">
        <v>455</v>
      </c>
      <c r="F69" s="204">
        <v>0</v>
      </c>
      <c r="G69" s="204">
        <v>455</v>
      </c>
      <c r="H69" s="204" t="s">
        <v>311</v>
      </c>
      <c r="I69" s="354">
        <v>37462</v>
      </c>
      <c r="J69" s="204" t="s">
        <v>311</v>
      </c>
      <c r="K69" s="204" t="s">
        <v>1332</v>
      </c>
      <c r="L69" s="204" t="s">
        <v>302</v>
      </c>
      <c r="M69" s="204" t="s">
        <v>312</v>
      </c>
      <c r="N69" s="353">
        <v>50</v>
      </c>
      <c r="O69" s="204" t="s">
        <v>1390</v>
      </c>
      <c r="P69" s="204" t="s">
        <v>313</v>
      </c>
      <c r="R69" s="204" t="s">
        <v>1248</v>
      </c>
      <c r="S69" s="353">
        <v>0</v>
      </c>
      <c r="T69" s="204" t="s">
        <v>314</v>
      </c>
      <c r="U69" s="204" t="s">
        <v>307</v>
      </c>
      <c r="W69" s="204" t="s">
        <v>315</v>
      </c>
      <c r="X69" s="204" t="s">
        <v>1391</v>
      </c>
      <c r="Z69" s="204" t="s">
        <v>309</v>
      </c>
      <c r="AA69" s="204" t="s">
        <v>310</v>
      </c>
      <c r="AB69" s="204" t="s">
        <v>1392</v>
      </c>
      <c r="AC69" s="204" t="s">
        <v>1259</v>
      </c>
      <c r="AD69" s="204" t="s">
        <v>1251</v>
      </c>
      <c r="AE69" s="353">
        <v>89647</v>
      </c>
      <c r="AF69" s="353">
        <v>208456</v>
      </c>
      <c r="AG69" s="353">
        <v>0</v>
      </c>
      <c r="AH69" s="204" t="s">
        <v>298</v>
      </c>
      <c r="AI69" s="353">
        <v>1</v>
      </c>
      <c r="AJ69" s="353">
        <v>1</v>
      </c>
      <c r="AK69" s="353">
        <v>0</v>
      </c>
      <c r="AL69" s="353">
        <v>0</v>
      </c>
      <c r="AM69" s="353">
        <v>0</v>
      </c>
      <c r="AQ69" s="353">
        <v>0</v>
      </c>
      <c r="BC69" s="353">
        <v>0</v>
      </c>
      <c r="BD69" s="353">
        <v>0</v>
      </c>
      <c r="BF69" s="353">
        <v>0</v>
      </c>
      <c r="BG69" s="204" t="s">
        <v>1248</v>
      </c>
      <c r="BH69" s="204" t="s">
        <v>1248</v>
      </c>
      <c r="BJ69" s="204" t="s">
        <v>1393</v>
      </c>
      <c r="BK69" s="353">
        <v>3686</v>
      </c>
      <c r="BL69" s="353">
        <v>2</v>
      </c>
      <c r="BM69" s="353">
        <v>5</v>
      </c>
      <c r="BN69" s="353">
        <v>0</v>
      </c>
      <c r="BO69" s="353">
        <v>0</v>
      </c>
      <c r="BP69" s="353">
        <v>0</v>
      </c>
      <c r="BQ69" s="353">
        <v>0</v>
      </c>
      <c r="BT69" s="353">
        <v>0</v>
      </c>
      <c r="BU69" s="353">
        <v>5500</v>
      </c>
      <c r="BV69" s="204" t="s">
        <v>1248</v>
      </c>
      <c r="BW69" s="204" t="s">
        <v>1253</v>
      </c>
      <c r="BX69" s="204" t="s">
        <v>1248</v>
      </c>
      <c r="BY69" s="204" t="s">
        <v>1248</v>
      </c>
      <c r="BZ69" s="204" t="s">
        <v>1394</v>
      </c>
      <c r="CA69" s="353">
        <v>3686</v>
      </c>
      <c r="CB69" s="353">
        <v>327.08952329300001</v>
      </c>
      <c r="CC69" s="204" t="s">
        <v>299</v>
      </c>
      <c r="CD69" s="204" t="s">
        <v>300</v>
      </c>
      <c r="CE69" s="204" t="s">
        <v>301</v>
      </c>
      <c r="CF69" s="204" t="s">
        <v>1389</v>
      </c>
      <c r="CG69" s="204" t="s">
        <v>1256</v>
      </c>
      <c r="CH69" s="204" t="s">
        <v>204</v>
      </c>
      <c r="CJ69" s="204" t="s">
        <v>302</v>
      </c>
      <c r="CK69" s="353">
        <v>-9999</v>
      </c>
      <c r="CM69" s="353">
        <v>2</v>
      </c>
      <c r="CN69" s="204" t="s">
        <v>1264</v>
      </c>
      <c r="CO69" s="353">
        <v>-9999</v>
      </c>
      <c r="CS69" s="353">
        <v>-9999</v>
      </c>
      <c r="CT69" s="353">
        <v>-9999</v>
      </c>
      <c r="CV69" s="204" t="s">
        <v>1336</v>
      </c>
      <c r="CW69" s="353">
        <v>1.05362509233E-5</v>
      </c>
      <c r="CX69" s="204">
        <v>455</v>
      </c>
      <c r="CY69" s="204">
        <v>0</v>
      </c>
      <c r="CZ69" s="204">
        <v>0</v>
      </c>
      <c r="DA69" s="204">
        <v>10</v>
      </c>
      <c r="DB69" s="353">
        <v>0</v>
      </c>
      <c r="DC69" s="353">
        <v>0</v>
      </c>
      <c r="DD69" s="204">
        <v>10</v>
      </c>
      <c r="DE69" s="353">
        <v>0</v>
      </c>
      <c r="DF69" s="353">
        <v>0</v>
      </c>
      <c r="DG69" s="353">
        <v>2.34598251706E-2</v>
      </c>
      <c r="DH69" s="353">
        <v>5522.8148880899998</v>
      </c>
    </row>
    <row r="70" spans="1:112">
      <c r="A70" s="204">
        <v>456</v>
      </c>
      <c r="B70" s="204">
        <v>1</v>
      </c>
      <c r="C70" s="204">
        <v>9686</v>
      </c>
      <c r="D70" s="204">
        <v>0</v>
      </c>
      <c r="E70" s="204">
        <v>456</v>
      </c>
      <c r="F70" s="204">
        <v>0</v>
      </c>
      <c r="G70" s="204">
        <v>456</v>
      </c>
      <c r="H70" s="204" t="s">
        <v>504</v>
      </c>
      <c r="I70" s="354">
        <v>37746</v>
      </c>
      <c r="J70" s="204" t="s">
        <v>504</v>
      </c>
      <c r="K70" s="204" t="s">
        <v>1332</v>
      </c>
      <c r="L70" s="204" t="s">
        <v>1294</v>
      </c>
      <c r="M70" s="204" t="s">
        <v>505</v>
      </c>
      <c r="N70" s="353">
        <v>100</v>
      </c>
      <c r="P70" s="204" t="s">
        <v>506</v>
      </c>
      <c r="R70" s="204" t="s">
        <v>1248</v>
      </c>
      <c r="S70" s="353">
        <v>0.115</v>
      </c>
      <c r="T70" s="204" t="s">
        <v>507</v>
      </c>
      <c r="U70" s="204" t="s">
        <v>307</v>
      </c>
      <c r="W70" s="204" t="s">
        <v>508</v>
      </c>
      <c r="Z70" s="204" t="s">
        <v>309</v>
      </c>
      <c r="AA70" s="204" t="s">
        <v>310</v>
      </c>
      <c r="AB70" s="204" t="s">
        <v>1395</v>
      </c>
      <c r="AC70" s="204" t="s">
        <v>741</v>
      </c>
      <c r="AD70" s="204" t="s">
        <v>1251</v>
      </c>
      <c r="AE70" s="353">
        <v>119499</v>
      </c>
      <c r="AF70" s="353">
        <v>142499</v>
      </c>
      <c r="AG70" s="353">
        <v>0</v>
      </c>
      <c r="AH70" s="204" t="s">
        <v>298</v>
      </c>
      <c r="AI70" s="353">
        <v>1</v>
      </c>
      <c r="AJ70" s="353">
        <v>1</v>
      </c>
      <c r="AK70" s="353">
        <v>0</v>
      </c>
      <c r="AL70" s="353">
        <v>0</v>
      </c>
      <c r="AM70" s="353">
        <v>0</v>
      </c>
      <c r="AQ70" s="353">
        <v>0</v>
      </c>
      <c r="BC70" s="353">
        <v>0</v>
      </c>
      <c r="BD70" s="353">
        <v>0</v>
      </c>
      <c r="BF70" s="353">
        <v>0</v>
      </c>
      <c r="BG70" s="204" t="s">
        <v>1248</v>
      </c>
      <c r="BH70" s="204" t="s">
        <v>1248</v>
      </c>
      <c r="BJ70" s="204" t="s">
        <v>1396</v>
      </c>
      <c r="BK70" s="353">
        <v>1512</v>
      </c>
      <c r="BL70" s="353">
        <v>2</v>
      </c>
      <c r="BM70" s="353">
        <v>3</v>
      </c>
      <c r="BN70" s="353">
        <v>3</v>
      </c>
      <c r="BO70" s="353">
        <v>0</v>
      </c>
      <c r="BP70" s="353">
        <v>0</v>
      </c>
      <c r="BQ70" s="353">
        <v>504</v>
      </c>
      <c r="BR70" s="204" t="s">
        <v>1261</v>
      </c>
      <c r="BS70" s="204" t="s">
        <v>1248</v>
      </c>
      <c r="BT70" s="353">
        <v>1</v>
      </c>
      <c r="BU70" s="353">
        <v>4923</v>
      </c>
      <c r="BV70" s="204" t="s">
        <v>1248</v>
      </c>
      <c r="BW70" s="204" t="s">
        <v>1253</v>
      </c>
      <c r="BX70" s="204" t="s">
        <v>1248</v>
      </c>
      <c r="BY70" s="204" t="s">
        <v>1248</v>
      </c>
      <c r="BZ70" s="204" t="s">
        <v>1397</v>
      </c>
      <c r="CA70" s="353">
        <v>1512</v>
      </c>
      <c r="CB70" s="353">
        <v>296.398624767</v>
      </c>
      <c r="CC70" s="204" t="s">
        <v>503</v>
      </c>
      <c r="CD70" s="204" t="s">
        <v>300</v>
      </c>
      <c r="CE70" s="204" t="s">
        <v>301</v>
      </c>
      <c r="CF70" s="204" t="s">
        <v>1389</v>
      </c>
      <c r="CG70" s="204" t="s">
        <v>1256</v>
      </c>
      <c r="CH70" s="204" t="s">
        <v>204</v>
      </c>
      <c r="CJ70" s="204" t="s">
        <v>302</v>
      </c>
      <c r="CK70" s="353">
        <v>-9999</v>
      </c>
      <c r="CM70" s="353">
        <v>2</v>
      </c>
      <c r="CN70" s="204" t="s">
        <v>1264</v>
      </c>
      <c r="CO70" s="353">
        <v>-9999</v>
      </c>
      <c r="CS70" s="353">
        <v>-9999</v>
      </c>
      <c r="CT70" s="353">
        <v>-9999</v>
      </c>
      <c r="CV70" s="204" t="s">
        <v>1336</v>
      </c>
      <c r="CW70" s="353">
        <v>1.05362509233E-5</v>
      </c>
      <c r="CX70" s="204">
        <v>456</v>
      </c>
      <c r="CY70" s="204">
        <v>0</v>
      </c>
      <c r="CZ70" s="204">
        <v>0</v>
      </c>
      <c r="DA70" s="204">
        <v>10</v>
      </c>
      <c r="DB70" s="353">
        <v>0</v>
      </c>
      <c r="DC70" s="353">
        <v>0</v>
      </c>
      <c r="DD70" s="204">
        <v>10</v>
      </c>
      <c r="DE70" s="353">
        <v>0</v>
      </c>
      <c r="DF70" s="353">
        <v>0</v>
      </c>
      <c r="DG70" s="353">
        <v>2.34598251706E-2</v>
      </c>
      <c r="DH70" s="353">
        <v>4804.2282841200004</v>
      </c>
    </row>
    <row r="71" spans="1:112">
      <c r="A71" s="204">
        <v>457</v>
      </c>
      <c r="B71" s="204">
        <v>1</v>
      </c>
      <c r="C71" s="204">
        <v>9687</v>
      </c>
      <c r="D71" s="204">
        <v>0</v>
      </c>
      <c r="E71" s="204">
        <v>457</v>
      </c>
      <c r="F71" s="204">
        <v>0</v>
      </c>
      <c r="G71" s="204">
        <v>457</v>
      </c>
      <c r="H71" s="204" t="s">
        <v>509</v>
      </c>
      <c r="I71" s="354">
        <v>37746</v>
      </c>
      <c r="J71" s="204" t="s">
        <v>509</v>
      </c>
      <c r="K71" s="204" t="s">
        <v>1332</v>
      </c>
      <c r="L71" s="204" t="s">
        <v>1294</v>
      </c>
      <c r="M71" s="204" t="s">
        <v>510</v>
      </c>
      <c r="N71" s="353">
        <v>100</v>
      </c>
      <c r="P71" s="204" t="s">
        <v>506</v>
      </c>
      <c r="R71" s="204" t="s">
        <v>1248</v>
      </c>
      <c r="S71" s="353">
        <v>0.11600000000000001</v>
      </c>
      <c r="T71" s="204" t="s">
        <v>507</v>
      </c>
      <c r="U71" s="204" t="s">
        <v>307</v>
      </c>
      <c r="W71" s="204" t="s">
        <v>511</v>
      </c>
      <c r="X71" s="204" t="s">
        <v>1398</v>
      </c>
      <c r="Z71" s="204" t="s">
        <v>309</v>
      </c>
      <c r="AA71" s="204" t="s">
        <v>310</v>
      </c>
      <c r="AB71" s="204" t="s">
        <v>1395</v>
      </c>
      <c r="AC71" s="204" t="s">
        <v>741</v>
      </c>
      <c r="AD71" s="204" t="s">
        <v>1251</v>
      </c>
      <c r="AE71" s="353">
        <v>119499</v>
      </c>
      <c r="AF71" s="353">
        <v>143417</v>
      </c>
      <c r="AG71" s="353">
        <v>0</v>
      </c>
      <c r="AH71" s="204" t="s">
        <v>298</v>
      </c>
      <c r="AI71" s="353">
        <v>1</v>
      </c>
      <c r="AJ71" s="353">
        <v>1</v>
      </c>
      <c r="AK71" s="353">
        <v>0</v>
      </c>
      <c r="AL71" s="353">
        <v>0</v>
      </c>
      <c r="AM71" s="353">
        <v>0</v>
      </c>
      <c r="AQ71" s="353">
        <v>0</v>
      </c>
      <c r="BC71" s="353">
        <v>0</v>
      </c>
      <c r="BD71" s="353">
        <v>0</v>
      </c>
      <c r="BF71" s="353">
        <v>0</v>
      </c>
      <c r="BG71" s="204" t="s">
        <v>1248</v>
      </c>
      <c r="BH71" s="204" t="s">
        <v>1248</v>
      </c>
      <c r="BJ71" s="204" t="s">
        <v>1396</v>
      </c>
      <c r="BK71" s="353">
        <v>1635</v>
      </c>
      <c r="BL71" s="353">
        <v>2</v>
      </c>
      <c r="BM71" s="353">
        <v>3</v>
      </c>
      <c r="BN71" s="353">
        <v>3</v>
      </c>
      <c r="BO71" s="353">
        <v>0</v>
      </c>
      <c r="BP71" s="353">
        <v>0</v>
      </c>
      <c r="BQ71" s="353">
        <v>545</v>
      </c>
      <c r="BR71" s="204" t="s">
        <v>1248</v>
      </c>
      <c r="BS71" s="204" t="s">
        <v>1248</v>
      </c>
      <c r="BT71" s="353">
        <v>0</v>
      </c>
      <c r="BU71" s="353">
        <v>4963</v>
      </c>
      <c r="BV71" s="204" t="s">
        <v>1248</v>
      </c>
      <c r="BW71" s="204" t="s">
        <v>1253</v>
      </c>
      <c r="BX71" s="204" t="s">
        <v>1248</v>
      </c>
      <c r="BY71" s="204" t="s">
        <v>1248</v>
      </c>
      <c r="BZ71" s="204" t="s">
        <v>1399</v>
      </c>
      <c r="CA71" s="353">
        <v>1635</v>
      </c>
      <c r="CB71" s="353">
        <v>303.59835727500001</v>
      </c>
      <c r="CC71" s="204" t="s">
        <v>503</v>
      </c>
      <c r="CD71" s="204" t="s">
        <v>300</v>
      </c>
      <c r="CE71" s="204" t="s">
        <v>301</v>
      </c>
      <c r="CF71" s="204" t="s">
        <v>1389</v>
      </c>
      <c r="CG71" s="204" t="s">
        <v>1256</v>
      </c>
      <c r="CH71" s="204" t="s">
        <v>204</v>
      </c>
      <c r="CJ71" s="204" t="s">
        <v>302</v>
      </c>
      <c r="CK71" s="353">
        <v>-9999</v>
      </c>
      <c r="CM71" s="353">
        <v>2</v>
      </c>
      <c r="CN71" s="204" t="s">
        <v>1264</v>
      </c>
      <c r="CO71" s="353">
        <v>-9999</v>
      </c>
      <c r="CS71" s="353">
        <v>-9999</v>
      </c>
      <c r="CT71" s="353">
        <v>-9999</v>
      </c>
      <c r="CV71" s="204" t="s">
        <v>1336</v>
      </c>
      <c r="CW71" s="353">
        <v>1.05362509233E-5</v>
      </c>
      <c r="CX71" s="204">
        <v>457</v>
      </c>
      <c r="CY71" s="204">
        <v>0</v>
      </c>
      <c r="CZ71" s="204">
        <v>0</v>
      </c>
      <c r="DA71" s="204">
        <v>10</v>
      </c>
      <c r="DB71" s="353">
        <v>0</v>
      </c>
      <c r="DC71" s="353">
        <v>0</v>
      </c>
      <c r="DD71" s="204">
        <v>10</v>
      </c>
      <c r="DE71" s="353">
        <v>0</v>
      </c>
      <c r="DF71" s="353">
        <v>0</v>
      </c>
      <c r="DG71" s="353">
        <v>2.34598251706E-2</v>
      </c>
      <c r="DH71" s="353">
        <v>5167.1110437099996</v>
      </c>
    </row>
    <row r="72" spans="1:112">
      <c r="A72" s="204">
        <v>458</v>
      </c>
      <c r="B72" s="204">
        <v>1</v>
      </c>
      <c r="C72" s="204">
        <v>9715</v>
      </c>
      <c r="D72" s="204">
        <v>0</v>
      </c>
      <c r="E72" s="204">
        <v>458</v>
      </c>
      <c r="F72" s="204">
        <v>0</v>
      </c>
      <c r="G72" s="204">
        <v>458</v>
      </c>
      <c r="H72" s="204" t="s">
        <v>316</v>
      </c>
      <c r="I72" s="354">
        <v>37462</v>
      </c>
      <c r="J72" s="204" t="s">
        <v>316</v>
      </c>
      <c r="K72" s="204" t="s">
        <v>1400</v>
      </c>
      <c r="L72" s="204" t="s">
        <v>1247</v>
      </c>
      <c r="M72" s="204" t="s">
        <v>317</v>
      </c>
      <c r="N72" s="353">
        <v>100</v>
      </c>
      <c r="P72" s="204" t="s">
        <v>318</v>
      </c>
      <c r="R72" s="204" t="s">
        <v>1248</v>
      </c>
      <c r="S72" s="353">
        <v>0</v>
      </c>
      <c r="T72" s="204" t="s">
        <v>319</v>
      </c>
      <c r="U72" s="204" t="s">
        <v>307</v>
      </c>
      <c r="W72" s="204" t="s">
        <v>320</v>
      </c>
      <c r="X72" s="204" t="s">
        <v>1401</v>
      </c>
      <c r="Z72" s="204" t="s">
        <v>309</v>
      </c>
      <c r="AA72" s="204" t="s">
        <v>310</v>
      </c>
      <c r="AB72" s="204" t="s">
        <v>1402</v>
      </c>
      <c r="AC72" s="204" t="s">
        <v>1259</v>
      </c>
      <c r="AD72" s="204" t="s">
        <v>1251</v>
      </c>
      <c r="AE72" s="353">
        <v>84847</v>
      </c>
      <c r="AF72" s="353">
        <v>127275</v>
      </c>
      <c r="AG72" s="353">
        <v>0</v>
      </c>
      <c r="AH72" s="204" t="s">
        <v>298</v>
      </c>
      <c r="AI72" s="353">
        <v>1</v>
      </c>
      <c r="AJ72" s="353">
        <v>1</v>
      </c>
      <c r="AK72" s="353">
        <v>0</v>
      </c>
      <c r="AL72" s="353">
        <v>0</v>
      </c>
      <c r="AM72" s="353">
        <v>0</v>
      </c>
      <c r="AQ72" s="353">
        <v>0</v>
      </c>
      <c r="BC72" s="353">
        <v>0</v>
      </c>
      <c r="BD72" s="353">
        <v>0</v>
      </c>
      <c r="BF72" s="353">
        <v>0</v>
      </c>
      <c r="BG72" s="204" t="s">
        <v>1248</v>
      </c>
      <c r="BH72" s="204" t="s">
        <v>1248</v>
      </c>
      <c r="BJ72" s="204" t="s">
        <v>1270</v>
      </c>
      <c r="BK72" s="353">
        <v>1981</v>
      </c>
      <c r="BL72" s="353">
        <v>1</v>
      </c>
      <c r="BM72" s="353">
        <v>5</v>
      </c>
      <c r="BN72" s="353">
        <v>4</v>
      </c>
      <c r="BO72" s="353">
        <v>0</v>
      </c>
      <c r="BP72" s="353">
        <v>0</v>
      </c>
      <c r="BQ72" s="353">
        <v>330</v>
      </c>
      <c r="BR72" s="204" t="s">
        <v>1248</v>
      </c>
      <c r="BS72" s="204" t="s">
        <v>1248</v>
      </c>
      <c r="BT72" s="353">
        <v>0</v>
      </c>
      <c r="BU72" s="353">
        <v>5000</v>
      </c>
      <c r="BV72" s="204" t="s">
        <v>1248</v>
      </c>
      <c r="BW72" s="204" t="s">
        <v>1253</v>
      </c>
      <c r="BX72" s="204" t="s">
        <v>1248</v>
      </c>
      <c r="BY72" s="204" t="s">
        <v>1248</v>
      </c>
      <c r="CA72" s="353">
        <v>1617</v>
      </c>
      <c r="CB72" s="353">
        <v>300.05928554000002</v>
      </c>
      <c r="CC72" s="204" t="s">
        <v>299</v>
      </c>
      <c r="CD72" s="204" t="s">
        <v>300</v>
      </c>
      <c r="CE72" s="204" t="s">
        <v>301</v>
      </c>
      <c r="CF72" s="204" t="s">
        <v>1389</v>
      </c>
      <c r="CG72" s="204" t="s">
        <v>1256</v>
      </c>
      <c r="CH72" s="204" t="s">
        <v>204</v>
      </c>
      <c r="CJ72" s="204" t="s">
        <v>302</v>
      </c>
      <c r="CK72" s="353">
        <v>-9999</v>
      </c>
      <c r="CM72" s="353">
        <v>2</v>
      </c>
      <c r="CN72" s="204" t="s">
        <v>1264</v>
      </c>
      <c r="CO72" s="353">
        <v>-9999</v>
      </c>
      <c r="CS72" s="353">
        <v>-9999</v>
      </c>
      <c r="CT72" s="353">
        <v>-9999</v>
      </c>
      <c r="CV72" s="204" t="s">
        <v>1336</v>
      </c>
      <c r="CW72" s="353">
        <v>1.05362509233E-5</v>
      </c>
      <c r="CX72" s="204">
        <v>458</v>
      </c>
      <c r="CY72" s="204">
        <v>0</v>
      </c>
      <c r="CZ72" s="204">
        <v>0</v>
      </c>
      <c r="DA72" s="204">
        <v>10</v>
      </c>
      <c r="DB72" s="353">
        <v>0</v>
      </c>
      <c r="DC72" s="353">
        <v>0</v>
      </c>
      <c r="DD72" s="204">
        <v>10</v>
      </c>
      <c r="DE72" s="353">
        <v>0</v>
      </c>
      <c r="DF72" s="353">
        <v>0</v>
      </c>
      <c r="DG72" s="353">
        <v>2.34598251706E-2</v>
      </c>
      <c r="DH72" s="353">
        <v>5000.9434670500004</v>
      </c>
    </row>
    <row r="73" spans="1:112">
      <c r="A73" s="204">
        <v>469</v>
      </c>
      <c r="B73" s="204">
        <v>1</v>
      </c>
      <c r="C73" s="204">
        <v>9804</v>
      </c>
      <c r="D73" s="204">
        <v>0</v>
      </c>
      <c r="E73" s="204">
        <v>469</v>
      </c>
      <c r="F73" s="204">
        <v>0</v>
      </c>
      <c r="G73" s="204">
        <v>469</v>
      </c>
      <c r="H73" s="204" t="s">
        <v>373</v>
      </c>
      <c r="I73" s="354">
        <v>37462</v>
      </c>
      <c r="J73" s="204" t="s">
        <v>373</v>
      </c>
      <c r="K73" s="204" t="s">
        <v>1400</v>
      </c>
      <c r="L73" s="204" t="s">
        <v>1247</v>
      </c>
      <c r="M73" s="204" t="s">
        <v>374</v>
      </c>
      <c r="N73" s="353">
        <v>100</v>
      </c>
      <c r="O73" s="204" t="s">
        <v>1403</v>
      </c>
      <c r="P73" s="204" t="s">
        <v>375</v>
      </c>
      <c r="R73" s="204" t="s">
        <v>1248</v>
      </c>
      <c r="S73" s="353">
        <v>0</v>
      </c>
      <c r="T73" s="204" t="s">
        <v>376</v>
      </c>
      <c r="U73" s="204" t="s">
        <v>307</v>
      </c>
      <c r="W73" s="204" t="s">
        <v>377</v>
      </c>
      <c r="Z73" s="204" t="s">
        <v>309</v>
      </c>
      <c r="AA73" s="204" t="s">
        <v>310</v>
      </c>
      <c r="AB73" s="204" t="s">
        <v>1306</v>
      </c>
      <c r="AC73" s="204" t="s">
        <v>1259</v>
      </c>
      <c r="AD73" s="204" t="s">
        <v>1251</v>
      </c>
      <c r="AE73" s="353">
        <v>172086</v>
      </c>
      <c r="AF73" s="353">
        <v>399489</v>
      </c>
      <c r="AG73" s="353">
        <v>0</v>
      </c>
      <c r="AH73" s="204" t="s">
        <v>298</v>
      </c>
      <c r="AI73" s="353">
        <v>1</v>
      </c>
      <c r="AJ73" s="353">
        <v>1</v>
      </c>
      <c r="AK73" s="353">
        <v>0</v>
      </c>
      <c r="AL73" s="353">
        <v>0</v>
      </c>
      <c r="AM73" s="353">
        <v>0</v>
      </c>
      <c r="AQ73" s="353">
        <v>0</v>
      </c>
      <c r="BC73" s="353">
        <v>0</v>
      </c>
      <c r="BD73" s="353">
        <v>0</v>
      </c>
      <c r="BF73" s="353">
        <v>0</v>
      </c>
      <c r="BG73" s="204" t="s">
        <v>1248</v>
      </c>
      <c r="BH73" s="204" t="s">
        <v>1248</v>
      </c>
      <c r="BJ73" s="204" t="s">
        <v>1270</v>
      </c>
      <c r="BK73" s="353">
        <v>6659</v>
      </c>
      <c r="BL73" s="353">
        <v>2</v>
      </c>
      <c r="BM73" s="353">
        <v>9</v>
      </c>
      <c r="BN73" s="353">
        <v>3</v>
      </c>
      <c r="BO73" s="353">
        <v>4</v>
      </c>
      <c r="BP73" s="353">
        <v>0</v>
      </c>
      <c r="BQ73" s="353">
        <v>740</v>
      </c>
      <c r="BR73" s="204" t="s">
        <v>1248</v>
      </c>
      <c r="BS73" s="204" t="s">
        <v>1248</v>
      </c>
      <c r="BT73" s="353">
        <v>0</v>
      </c>
      <c r="BU73" s="353">
        <v>5000</v>
      </c>
      <c r="BV73" s="204" t="s">
        <v>1248</v>
      </c>
      <c r="BW73" s="204" t="s">
        <v>1253</v>
      </c>
      <c r="BX73" s="204" t="s">
        <v>1248</v>
      </c>
      <c r="BY73" s="204" t="s">
        <v>1248</v>
      </c>
      <c r="CA73" s="353">
        <v>6659</v>
      </c>
      <c r="CB73" s="353">
        <v>299.739902997</v>
      </c>
      <c r="CC73" s="204" t="s">
        <v>299</v>
      </c>
      <c r="CD73" s="204" t="s">
        <v>300</v>
      </c>
      <c r="CE73" s="204" t="s">
        <v>301</v>
      </c>
      <c r="CF73" s="204" t="s">
        <v>448</v>
      </c>
      <c r="CG73" s="204" t="s">
        <v>1256</v>
      </c>
      <c r="CH73" s="204" t="s">
        <v>204</v>
      </c>
      <c r="CJ73" s="204" t="s">
        <v>302</v>
      </c>
      <c r="CK73" s="353">
        <v>-9999</v>
      </c>
      <c r="CM73" s="353">
        <v>1</v>
      </c>
      <c r="CN73" s="204" t="s">
        <v>1264</v>
      </c>
      <c r="CO73" s="353">
        <v>-9999</v>
      </c>
      <c r="CS73" s="353">
        <v>-9999</v>
      </c>
      <c r="CT73" s="353">
        <v>-9999</v>
      </c>
      <c r="CV73" s="204" t="s">
        <v>1336</v>
      </c>
      <c r="CW73" s="353">
        <v>1.36126319608E-5</v>
      </c>
      <c r="CX73" s="204">
        <v>469</v>
      </c>
      <c r="CY73" s="204">
        <v>0</v>
      </c>
      <c r="CZ73" s="204">
        <v>0</v>
      </c>
      <c r="DA73" s="204">
        <v>10</v>
      </c>
      <c r="DB73" s="353">
        <v>0</v>
      </c>
      <c r="DC73" s="353">
        <v>0</v>
      </c>
      <c r="DD73" s="204">
        <v>10</v>
      </c>
      <c r="DE73" s="353">
        <v>0</v>
      </c>
      <c r="DF73" s="353">
        <v>0</v>
      </c>
      <c r="DG73" s="353">
        <v>1.7718345864499999E-2</v>
      </c>
      <c r="DH73" s="353">
        <v>4971.1378253800003</v>
      </c>
    </row>
    <row r="74" spans="1:112">
      <c r="A74" s="204">
        <v>473</v>
      </c>
      <c r="B74" s="204">
        <v>3</v>
      </c>
      <c r="C74" s="204">
        <v>9823</v>
      </c>
      <c r="D74" s="204">
        <v>1</v>
      </c>
      <c r="E74" s="204">
        <v>473</v>
      </c>
      <c r="F74" s="204">
        <v>0</v>
      </c>
      <c r="G74" s="204">
        <v>473</v>
      </c>
      <c r="H74" s="204" t="s">
        <v>1119</v>
      </c>
      <c r="I74" s="354">
        <v>37462</v>
      </c>
      <c r="J74" s="204" t="s">
        <v>1119</v>
      </c>
      <c r="K74" s="204" t="s">
        <v>1332</v>
      </c>
      <c r="L74" s="204" t="s">
        <v>1247</v>
      </c>
      <c r="M74" s="204" t="s">
        <v>1120</v>
      </c>
      <c r="N74" s="353">
        <v>100</v>
      </c>
      <c r="O74" s="204" t="s">
        <v>1404</v>
      </c>
      <c r="P74" s="204" t="s">
        <v>1121</v>
      </c>
      <c r="R74" s="204" t="s">
        <v>1248</v>
      </c>
      <c r="S74" s="353">
        <v>0</v>
      </c>
      <c r="T74" s="204" t="s">
        <v>388</v>
      </c>
      <c r="U74" s="204" t="s">
        <v>307</v>
      </c>
      <c r="W74" s="204" t="s">
        <v>1122</v>
      </c>
      <c r="Z74" s="204" t="s">
        <v>309</v>
      </c>
      <c r="AA74" s="204" t="s">
        <v>310</v>
      </c>
      <c r="AB74" s="204" t="s">
        <v>1405</v>
      </c>
      <c r="AC74" s="204" t="s">
        <v>1278</v>
      </c>
      <c r="AD74" s="204" t="s">
        <v>384</v>
      </c>
      <c r="AE74" s="353">
        <v>36939</v>
      </c>
      <c r="AF74" s="353">
        <v>36348</v>
      </c>
      <c r="AG74" s="353">
        <v>0</v>
      </c>
      <c r="AH74" s="204" t="s">
        <v>423</v>
      </c>
      <c r="AI74" s="353">
        <v>1</v>
      </c>
      <c r="AJ74" s="353">
        <v>1</v>
      </c>
      <c r="AK74" s="353">
        <v>6</v>
      </c>
      <c r="AL74" s="353">
        <v>2</v>
      </c>
      <c r="AM74" s="353">
        <v>13</v>
      </c>
      <c r="AN74" s="204" t="s">
        <v>186</v>
      </c>
      <c r="AO74" s="204" t="s">
        <v>1248</v>
      </c>
      <c r="AP74" s="204" t="s">
        <v>1248</v>
      </c>
      <c r="AQ74" s="353">
        <v>0</v>
      </c>
      <c r="AR74" s="204" t="s">
        <v>1248</v>
      </c>
      <c r="AS74" s="204" t="s">
        <v>1248</v>
      </c>
      <c r="AT74" s="204" t="s">
        <v>1248</v>
      </c>
      <c r="AU74" s="204" t="s">
        <v>1248</v>
      </c>
      <c r="AV74" s="204" t="s">
        <v>1123</v>
      </c>
      <c r="AW74" s="204" t="s">
        <v>1248</v>
      </c>
      <c r="AX74" s="204" t="s">
        <v>1253</v>
      </c>
      <c r="AY74" s="204" t="s">
        <v>1248</v>
      </c>
      <c r="AZ74" s="204" t="s">
        <v>1296</v>
      </c>
      <c r="BA74" s="204" t="s">
        <v>1248</v>
      </c>
      <c r="BB74" s="204" t="s">
        <v>1123</v>
      </c>
      <c r="BC74" s="353">
        <v>10000</v>
      </c>
      <c r="BD74" s="353">
        <v>2756</v>
      </c>
      <c r="BE74" s="204" t="s">
        <v>723</v>
      </c>
      <c r="BF74" s="353">
        <v>0</v>
      </c>
      <c r="BG74" s="204" t="s">
        <v>1248</v>
      </c>
      <c r="BH74" s="204" t="s">
        <v>1248</v>
      </c>
      <c r="BI74" s="204" t="s">
        <v>723</v>
      </c>
      <c r="BK74" s="353">
        <v>0</v>
      </c>
      <c r="BL74" s="353">
        <v>0</v>
      </c>
      <c r="BM74" s="353">
        <v>0</v>
      </c>
      <c r="BN74" s="353">
        <v>0</v>
      </c>
      <c r="BO74" s="353">
        <v>0</v>
      </c>
      <c r="BP74" s="353">
        <v>0</v>
      </c>
      <c r="BQ74" s="353">
        <v>0</v>
      </c>
      <c r="BT74" s="353">
        <v>0</v>
      </c>
      <c r="BU74" s="353">
        <v>0</v>
      </c>
      <c r="CA74" s="353">
        <v>0</v>
      </c>
      <c r="CB74" s="353">
        <v>396.31236082700002</v>
      </c>
      <c r="CC74" s="204" t="s">
        <v>425</v>
      </c>
      <c r="CD74" s="204" t="s">
        <v>300</v>
      </c>
      <c r="CE74" s="204" t="s">
        <v>301</v>
      </c>
      <c r="CF74" s="204" t="s">
        <v>1335</v>
      </c>
      <c r="CG74" s="204" t="s">
        <v>1256</v>
      </c>
      <c r="CH74" s="204" t="s">
        <v>1298</v>
      </c>
      <c r="CI74" s="204" t="s">
        <v>351</v>
      </c>
      <c r="CJ74" s="204" t="s">
        <v>678</v>
      </c>
      <c r="CK74" s="353">
        <v>-9999</v>
      </c>
      <c r="CM74" s="353">
        <v>-9999</v>
      </c>
      <c r="CN74" s="204" t="s">
        <v>1264</v>
      </c>
      <c r="CO74" s="353">
        <v>-9999</v>
      </c>
      <c r="CS74" s="353">
        <v>-9999</v>
      </c>
      <c r="CT74" s="353">
        <v>-9999</v>
      </c>
      <c r="CV74" s="204" t="s">
        <v>1336</v>
      </c>
      <c r="CW74" s="353">
        <v>5.28165524707E-4</v>
      </c>
      <c r="CX74" s="204">
        <v>473</v>
      </c>
      <c r="CY74" s="204">
        <v>0</v>
      </c>
      <c r="CZ74" s="204">
        <v>0</v>
      </c>
      <c r="DA74" s="204">
        <v>10</v>
      </c>
      <c r="DB74" s="353">
        <v>0</v>
      </c>
      <c r="DC74" s="353">
        <v>0</v>
      </c>
      <c r="DD74" s="204">
        <v>6</v>
      </c>
      <c r="DE74" s="353">
        <v>843.96424868400004</v>
      </c>
      <c r="DF74" s="353">
        <v>7278.2055671799999</v>
      </c>
      <c r="DG74" s="353">
        <v>0.17013133497300001</v>
      </c>
      <c r="DH74" s="353">
        <v>9816.3002044700006</v>
      </c>
    </row>
    <row r="75" spans="1:112">
      <c r="A75" s="204">
        <v>474</v>
      </c>
      <c r="B75" s="204">
        <v>2</v>
      </c>
      <c r="C75" s="204">
        <v>9826</v>
      </c>
      <c r="D75" s="204">
        <v>0</v>
      </c>
      <c r="E75" s="204">
        <v>474</v>
      </c>
      <c r="F75" s="204">
        <v>0</v>
      </c>
      <c r="G75" s="204">
        <v>474</v>
      </c>
      <c r="H75" s="204" t="s">
        <v>479</v>
      </c>
      <c r="I75" s="354">
        <v>37462</v>
      </c>
      <c r="J75" s="204" t="s">
        <v>479</v>
      </c>
      <c r="K75" s="204" t="s">
        <v>1332</v>
      </c>
      <c r="L75" s="204" t="s">
        <v>1247</v>
      </c>
      <c r="M75" s="204" t="s">
        <v>480</v>
      </c>
      <c r="N75" s="353">
        <v>100</v>
      </c>
      <c r="P75" s="204" t="s">
        <v>481</v>
      </c>
      <c r="R75" s="204" t="s">
        <v>1248</v>
      </c>
      <c r="S75" s="353">
        <v>0</v>
      </c>
      <c r="T75" s="204" t="s">
        <v>462</v>
      </c>
      <c r="U75" s="204" t="s">
        <v>294</v>
      </c>
      <c r="W75" s="204" t="s">
        <v>482</v>
      </c>
      <c r="Z75" s="204" t="s">
        <v>309</v>
      </c>
      <c r="AA75" s="204" t="s">
        <v>310</v>
      </c>
      <c r="AB75" s="204" t="s">
        <v>1347</v>
      </c>
      <c r="AC75" s="204" t="s">
        <v>1278</v>
      </c>
      <c r="AD75" s="204" t="s">
        <v>384</v>
      </c>
      <c r="AE75" s="353">
        <v>14248</v>
      </c>
      <c r="AF75" s="353">
        <v>285253</v>
      </c>
      <c r="AG75" s="353">
        <v>0</v>
      </c>
      <c r="AH75" s="204" t="s">
        <v>423</v>
      </c>
      <c r="AI75" s="353">
        <v>1</v>
      </c>
      <c r="AJ75" s="353">
        <v>1</v>
      </c>
      <c r="AK75" s="353">
        <v>6</v>
      </c>
      <c r="AL75" s="353">
        <v>3</v>
      </c>
      <c r="AM75" s="353">
        <v>16</v>
      </c>
      <c r="AN75" s="204" t="s">
        <v>186</v>
      </c>
      <c r="AO75" s="204" t="s">
        <v>1261</v>
      </c>
      <c r="AP75" s="204" t="s">
        <v>1248</v>
      </c>
      <c r="AQ75" s="353">
        <v>2</v>
      </c>
      <c r="AR75" s="204" t="s">
        <v>1248</v>
      </c>
      <c r="AS75" s="204" t="s">
        <v>1248</v>
      </c>
      <c r="AT75" s="204" t="s">
        <v>1282</v>
      </c>
      <c r="AU75" s="204" t="s">
        <v>1248</v>
      </c>
      <c r="AV75" s="204" t="s">
        <v>483</v>
      </c>
      <c r="AW75" s="204" t="s">
        <v>1248</v>
      </c>
      <c r="AX75" s="204" t="s">
        <v>1253</v>
      </c>
      <c r="AY75" s="204" t="s">
        <v>302</v>
      </c>
      <c r="AZ75" s="204" t="s">
        <v>1248</v>
      </c>
      <c r="BA75" s="204" t="s">
        <v>1248</v>
      </c>
      <c r="BB75" s="204" t="s">
        <v>1406</v>
      </c>
      <c r="BC75" s="353">
        <v>2500</v>
      </c>
      <c r="BD75" s="353">
        <v>1825</v>
      </c>
      <c r="BE75" s="204" t="s">
        <v>723</v>
      </c>
      <c r="BF75" s="353">
        <v>0</v>
      </c>
      <c r="BG75" s="204" t="s">
        <v>1248</v>
      </c>
      <c r="BH75" s="204" t="s">
        <v>1248</v>
      </c>
      <c r="BI75" s="204" t="s">
        <v>723</v>
      </c>
      <c r="BK75" s="353">
        <v>0</v>
      </c>
      <c r="BL75" s="353">
        <v>0</v>
      </c>
      <c r="BM75" s="353">
        <v>0</v>
      </c>
      <c r="BN75" s="353">
        <v>0</v>
      </c>
      <c r="BO75" s="353">
        <v>0</v>
      </c>
      <c r="BP75" s="353">
        <v>0</v>
      </c>
      <c r="BQ75" s="353">
        <v>0</v>
      </c>
      <c r="BT75" s="353">
        <v>0</v>
      </c>
      <c r="BU75" s="353">
        <v>0</v>
      </c>
      <c r="CA75" s="353">
        <v>0</v>
      </c>
      <c r="CB75" s="353">
        <v>198.87351975600001</v>
      </c>
      <c r="CC75" s="204" t="s">
        <v>425</v>
      </c>
      <c r="CD75" s="204" t="s">
        <v>300</v>
      </c>
      <c r="CE75" s="204" t="s">
        <v>301</v>
      </c>
      <c r="CF75" s="204" t="s">
        <v>448</v>
      </c>
      <c r="CG75" s="204" t="s">
        <v>1256</v>
      </c>
      <c r="CH75" s="204" t="s">
        <v>204</v>
      </c>
      <c r="CI75" s="204" t="s">
        <v>359</v>
      </c>
      <c r="CJ75" s="204" t="s">
        <v>302</v>
      </c>
      <c r="CK75" s="353">
        <v>-9999</v>
      </c>
      <c r="CM75" s="353">
        <v>1</v>
      </c>
      <c r="CN75" s="204" t="s">
        <v>1264</v>
      </c>
      <c r="CO75" s="353">
        <v>-9999</v>
      </c>
      <c r="CS75" s="353">
        <v>-9999</v>
      </c>
      <c r="CT75" s="353">
        <v>-9999</v>
      </c>
      <c r="CV75" s="204" t="s">
        <v>1336</v>
      </c>
      <c r="CW75" s="353">
        <v>1.36126319608E-5</v>
      </c>
      <c r="CX75" s="204">
        <v>474</v>
      </c>
      <c r="CY75" s="204">
        <v>0</v>
      </c>
      <c r="CZ75" s="204">
        <v>0</v>
      </c>
      <c r="DA75" s="204">
        <v>10</v>
      </c>
      <c r="DB75" s="353">
        <v>0</v>
      </c>
      <c r="DC75" s="353">
        <v>0</v>
      </c>
      <c r="DD75" s="204">
        <v>10</v>
      </c>
      <c r="DE75" s="353">
        <v>0</v>
      </c>
      <c r="DF75" s="353">
        <v>0</v>
      </c>
      <c r="DG75" s="353">
        <v>1.7718345864499999E-2</v>
      </c>
      <c r="DH75" s="353">
        <v>2471.3598923599998</v>
      </c>
    </row>
    <row r="76" spans="1:112">
      <c r="A76" s="204">
        <v>475</v>
      </c>
      <c r="B76" s="204">
        <v>2</v>
      </c>
      <c r="C76" s="204">
        <v>9827</v>
      </c>
      <c r="D76" s="204">
        <v>0</v>
      </c>
      <c r="E76" s="204">
        <v>475</v>
      </c>
      <c r="F76" s="204">
        <v>0</v>
      </c>
      <c r="G76" s="204">
        <v>475</v>
      </c>
      <c r="H76" s="204" t="s">
        <v>484</v>
      </c>
      <c r="I76" s="354">
        <v>37462</v>
      </c>
      <c r="J76" s="204" t="s">
        <v>484</v>
      </c>
      <c r="K76" s="204" t="s">
        <v>1332</v>
      </c>
      <c r="L76" s="204" t="s">
        <v>1247</v>
      </c>
      <c r="M76" s="204" t="s">
        <v>485</v>
      </c>
      <c r="N76" s="353">
        <v>100</v>
      </c>
      <c r="P76" s="204" t="s">
        <v>486</v>
      </c>
      <c r="R76" s="204" t="s">
        <v>1248</v>
      </c>
      <c r="S76" s="353">
        <v>0</v>
      </c>
      <c r="T76" s="204" t="s">
        <v>487</v>
      </c>
      <c r="W76" s="204" t="s">
        <v>488</v>
      </c>
      <c r="X76" s="204" t="s">
        <v>1407</v>
      </c>
      <c r="Z76" s="204" t="s">
        <v>309</v>
      </c>
      <c r="AA76" s="204" t="s">
        <v>310</v>
      </c>
      <c r="AB76" s="204" t="s">
        <v>1408</v>
      </c>
      <c r="AC76" s="204" t="s">
        <v>1278</v>
      </c>
      <c r="AD76" s="204" t="s">
        <v>384</v>
      </c>
      <c r="AE76" s="353">
        <v>236921</v>
      </c>
      <c r="AF76" s="353">
        <v>105298</v>
      </c>
      <c r="AG76" s="353">
        <v>0</v>
      </c>
      <c r="AH76" s="204" t="s">
        <v>423</v>
      </c>
      <c r="AI76" s="353">
        <v>1</v>
      </c>
      <c r="AJ76" s="353">
        <v>1</v>
      </c>
      <c r="AK76" s="353">
        <v>5</v>
      </c>
      <c r="AL76" s="353">
        <v>2</v>
      </c>
      <c r="AM76" s="353">
        <v>11</v>
      </c>
      <c r="AN76" s="204" t="s">
        <v>186</v>
      </c>
      <c r="AO76" s="204" t="s">
        <v>1248</v>
      </c>
      <c r="AP76" s="204" t="s">
        <v>1248</v>
      </c>
      <c r="AQ76" s="353">
        <v>0</v>
      </c>
      <c r="AR76" s="204" t="s">
        <v>1248</v>
      </c>
      <c r="AS76" s="204" t="s">
        <v>302</v>
      </c>
      <c r="AT76" s="204" t="s">
        <v>1248</v>
      </c>
      <c r="AU76" s="204" t="s">
        <v>1248</v>
      </c>
      <c r="AV76" s="204" t="s">
        <v>489</v>
      </c>
      <c r="AW76" s="204" t="s">
        <v>1248</v>
      </c>
      <c r="AX76" s="204" t="s">
        <v>1253</v>
      </c>
      <c r="AY76" s="204" t="s">
        <v>1248</v>
      </c>
      <c r="AZ76" s="204" t="s">
        <v>1296</v>
      </c>
      <c r="BA76" s="204" t="s">
        <v>1248</v>
      </c>
      <c r="BB76" s="204" t="s">
        <v>646</v>
      </c>
      <c r="BC76" s="353">
        <v>5000</v>
      </c>
      <c r="BD76" s="353">
        <v>2754</v>
      </c>
      <c r="BE76" s="204" t="s">
        <v>723</v>
      </c>
      <c r="BF76" s="353">
        <v>0</v>
      </c>
      <c r="BG76" s="204" t="s">
        <v>1248</v>
      </c>
      <c r="BH76" s="204" t="s">
        <v>1248</v>
      </c>
      <c r="BI76" s="204" t="s">
        <v>723</v>
      </c>
      <c r="BK76" s="353">
        <v>0</v>
      </c>
      <c r="BL76" s="353">
        <v>0</v>
      </c>
      <c r="BM76" s="353">
        <v>0</v>
      </c>
      <c r="BN76" s="353">
        <v>0</v>
      </c>
      <c r="BO76" s="353">
        <v>0</v>
      </c>
      <c r="BP76" s="353">
        <v>0</v>
      </c>
      <c r="BQ76" s="353">
        <v>0</v>
      </c>
      <c r="BT76" s="353">
        <v>0</v>
      </c>
      <c r="BU76" s="353">
        <v>0</v>
      </c>
      <c r="CA76" s="353">
        <v>0</v>
      </c>
      <c r="CB76" s="353">
        <v>298.32978191799998</v>
      </c>
      <c r="CC76" s="204" t="s">
        <v>425</v>
      </c>
      <c r="CD76" s="204" t="s">
        <v>300</v>
      </c>
      <c r="CE76" s="204" t="s">
        <v>301</v>
      </c>
      <c r="CF76" s="204" t="s">
        <v>448</v>
      </c>
      <c r="CG76" s="204" t="s">
        <v>1256</v>
      </c>
      <c r="CH76" s="204" t="s">
        <v>204</v>
      </c>
      <c r="CI76" s="204" t="s">
        <v>359</v>
      </c>
      <c r="CJ76" s="204" t="s">
        <v>302</v>
      </c>
      <c r="CK76" s="353">
        <v>-9999</v>
      </c>
      <c r="CM76" s="353">
        <v>1</v>
      </c>
      <c r="CN76" s="204" t="s">
        <v>1264</v>
      </c>
      <c r="CO76" s="353">
        <v>-9999</v>
      </c>
      <c r="CS76" s="353">
        <v>-9999</v>
      </c>
      <c r="CT76" s="353">
        <v>-9999</v>
      </c>
      <c r="CV76" s="204" t="s">
        <v>1336</v>
      </c>
      <c r="CW76" s="353">
        <v>1.36126319608E-5</v>
      </c>
      <c r="CX76" s="204">
        <v>475</v>
      </c>
      <c r="CY76" s="204">
        <v>0</v>
      </c>
      <c r="CZ76" s="204">
        <v>0</v>
      </c>
      <c r="DA76" s="204">
        <v>10</v>
      </c>
      <c r="DB76" s="353">
        <v>0</v>
      </c>
      <c r="DC76" s="353">
        <v>0</v>
      </c>
      <c r="DD76" s="204">
        <v>10</v>
      </c>
      <c r="DE76" s="353">
        <v>0</v>
      </c>
      <c r="DF76" s="353">
        <v>0</v>
      </c>
      <c r="DG76" s="353">
        <v>1.7718345864499999E-2</v>
      </c>
      <c r="DH76" s="353">
        <v>4943.6354648200004</v>
      </c>
    </row>
    <row r="77" spans="1:112">
      <c r="A77" s="204">
        <v>480</v>
      </c>
      <c r="B77" s="204">
        <v>2</v>
      </c>
      <c r="C77" s="204">
        <v>9849</v>
      </c>
      <c r="D77" s="204">
        <v>0</v>
      </c>
      <c r="E77" s="204">
        <v>480</v>
      </c>
      <c r="F77" s="204">
        <v>0</v>
      </c>
      <c r="G77" s="204">
        <v>480</v>
      </c>
      <c r="H77" s="204" t="s">
        <v>583</v>
      </c>
      <c r="I77" s="354">
        <v>37462</v>
      </c>
      <c r="J77" s="204" t="s">
        <v>583</v>
      </c>
      <c r="K77" s="204" t="s">
        <v>1332</v>
      </c>
      <c r="L77" s="204" t="s">
        <v>1247</v>
      </c>
      <c r="M77" s="204" t="s">
        <v>584</v>
      </c>
      <c r="N77" s="353">
        <v>100</v>
      </c>
      <c r="P77" s="204" t="s">
        <v>585</v>
      </c>
      <c r="R77" s="204" t="s">
        <v>1248</v>
      </c>
      <c r="S77" s="353">
        <v>0</v>
      </c>
      <c r="T77" s="204" t="s">
        <v>586</v>
      </c>
      <c r="U77" s="204" t="s">
        <v>307</v>
      </c>
      <c r="W77" s="204" t="s">
        <v>587</v>
      </c>
      <c r="Z77" s="204" t="s">
        <v>309</v>
      </c>
      <c r="AA77" s="204" t="s">
        <v>310</v>
      </c>
      <c r="AB77" s="204" t="s">
        <v>1409</v>
      </c>
      <c r="AC77" s="204" t="s">
        <v>1274</v>
      </c>
      <c r="AD77" s="204" t="s">
        <v>1251</v>
      </c>
      <c r="AE77" s="353">
        <v>79710</v>
      </c>
      <c r="AF77" s="353">
        <v>0</v>
      </c>
      <c r="AG77" s="353">
        <v>0</v>
      </c>
      <c r="AH77" s="204" t="s">
        <v>298</v>
      </c>
      <c r="AI77" s="353">
        <v>1</v>
      </c>
      <c r="AJ77" s="353">
        <v>1</v>
      </c>
      <c r="AK77" s="353">
        <v>0</v>
      </c>
      <c r="AL77" s="353">
        <v>0</v>
      </c>
      <c r="AM77" s="353">
        <v>0</v>
      </c>
      <c r="AQ77" s="353">
        <v>0</v>
      </c>
      <c r="BC77" s="353">
        <v>0</v>
      </c>
      <c r="BD77" s="353">
        <v>0</v>
      </c>
      <c r="BF77" s="353">
        <v>0</v>
      </c>
      <c r="BG77" s="204" t="s">
        <v>1248</v>
      </c>
      <c r="BH77" s="204" t="s">
        <v>1248</v>
      </c>
      <c r="BK77" s="353">
        <v>0</v>
      </c>
      <c r="BL77" s="353">
        <v>0</v>
      </c>
      <c r="BM77" s="353">
        <v>0</v>
      </c>
      <c r="BN77" s="353">
        <v>0</v>
      </c>
      <c r="BO77" s="353">
        <v>0</v>
      </c>
      <c r="BP77" s="353">
        <v>0</v>
      </c>
      <c r="BQ77" s="353">
        <v>0</v>
      </c>
      <c r="BT77" s="353">
        <v>0</v>
      </c>
      <c r="BU77" s="353">
        <v>10000</v>
      </c>
      <c r="BV77" s="204" t="s">
        <v>1248</v>
      </c>
      <c r="BW77" s="204" t="s">
        <v>1253</v>
      </c>
      <c r="BX77" s="204" t="s">
        <v>1248</v>
      </c>
      <c r="BY77" s="204" t="s">
        <v>1248</v>
      </c>
      <c r="CA77" s="353">
        <v>0</v>
      </c>
      <c r="CB77" s="353">
        <v>400.53209054799999</v>
      </c>
      <c r="CC77" s="204" t="s">
        <v>88</v>
      </c>
      <c r="CD77" s="204" t="s">
        <v>300</v>
      </c>
      <c r="CE77" s="204" t="s">
        <v>301</v>
      </c>
      <c r="CF77" s="204" t="s">
        <v>448</v>
      </c>
      <c r="CG77" s="204" t="s">
        <v>1256</v>
      </c>
      <c r="CH77" s="204" t="s">
        <v>204</v>
      </c>
      <c r="CI77" s="204" t="s">
        <v>359</v>
      </c>
      <c r="CJ77" s="204" t="s">
        <v>302</v>
      </c>
      <c r="CK77" s="353">
        <v>-9999</v>
      </c>
      <c r="CM77" s="353">
        <v>1</v>
      </c>
      <c r="CN77" s="204" t="s">
        <v>1264</v>
      </c>
      <c r="CO77" s="353">
        <v>-9999</v>
      </c>
      <c r="CS77" s="353">
        <v>-9999</v>
      </c>
      <c r="CT77" s="353">
        <v>-9999</v>
      </c>
      <c r="CV77" s="204" t="s">
        <v>1336</v>
      </c>
      <c r="CW77" s="353">
        <v>1.36126319608E-5</v>
      </c>
      <c r="CX77" s="204">
        <v>480</v>
      </c>
      <c r="CY77" s="204">
        <v>0</v>
      </c>
      <c r="CZ77" s="204">
        <v>0</v>
      </c>
      <c r="DA77" s="204">
        <v>10</v>
      </c>
      <c r="DB77" s="353">
        <v>0</v>
      </c>
      <c r="DC77" s="353">
        <v>0</v>
      </c>
      <c r="DD77" s="204">
        <v>10</v>
      </c>
      <c r="DE77" s="353">
        <v>0</v>
      </c>
      <c r="DF77" s="353">
        <v>0</v>
      </c>
      <c r="DG77" s="353">
        <v>1.7718345864499999E-2</v>
      </c>
      <c r="DH77" s="353">
        <v>10025.864703699999</v>
      </c>
    </row>
    <row r="78" spans="1:112">
      <c r="A78" s="204">
        <v>481</v>
      </c>
      <c r="B78" s="204">
        <v>2</v>
      </c>
      <c r="C78" s="204">
        <v>9870</v>
      </c>
      <c r="D78" s="204">
        <v>3</v>
      </c>
      <c r="E78" s="204">
        <v>481</v>
      </c>
      <c r="F78" s="204">
        <v>0</v>
      </c>
      <c r="G78" s="204">
        <v>481</v>
      </c>
      <c r="H78" s="204" t="s">
        <v>1027</v>
      </c>
      <c r="I78" s="354">
        <v>37462</v>
      </c>
      <c r="J78" s="204" t="s">
        <v>1027</v>
      </c>
      <c r="K78" s="204" t="s">
        <v>1332</v>
      </c>
      <c r="L78" s="204" t="s">
        <v>1281</v>
      </c>
      <c r="M78" s="204" t="s">
        <v>1028</v>
      </c>
      <c r="N78" s="353">
        <v>100</v>
      </c>
      <c r="O78" s="204" t="s">
        <v>1410</v>
      </c>
      <c r="P78" s="204" t="s">
        <v>1029</v>
      </c>
      <c r="R78" s="204" t="s">
        <v>1248</v>
      </c>
      <c r="S78" s="353">
        <v>1.03</v>
      </c>
      <c r="T78" s="204" t="s">
        <v>388</v>
      </c>
      <c r="U78" s="204" t="s">
        <v>307</v>
      </c>
      <c r="W78" s="204" t="s">
        <v>1030</v>
      </c>
      <c r="Z78" s="204" t="s">
        <v>309</v>
      </c>
      <c r="AA78" s="204" t="s">
        <v>310</v>
      </c>
      <c r="AB78" s="204" t="s">
        <v>1411</v>
      </c>
      <c r="AC78" s="204" t="s">
        <v>357</v>
      </c>
      <c r="AD78" s="204" t="s">
        <v>1251</v>
      </c>
      <c r="AE78" s="353">
        <v>1463172</v>
      </c>
      <c r="AF78" s="353">
        <v>6906151</v>
      </c>
      <c r="AG78" s="353">
        <v>0</v>
      </c>
      <c r="AH78" s="204" t="s">
        <v>298</v>
      </c>
      <c r="AI78" s="353">
        <v>1</v>
      </c>
      <c r="AJ78" s="353">
        <v>1</v>
      </c>
      <c r="AK78" s="353">
        <v>0</v>
      </c>
      <c r="AL78" s="353">
        <v>0</v>
      </c>
      <c r="AM78" s="353">
        <v>0</v>
      </c>
      <c r="AQ78" s="353">
        <v>0</v>
      </c>
      <c r="BC78" s="353">
        <v>0</v>
      </c>
      <c r="BD78" s="353">
        <v>0</v>
      </c>
      <c r="BF78" s="353">
        <v>0</v>
      </c>
      <c r="BG78" s="204" t="s">
        <v>1248</v>
      </c>
      <c r="BH78" s="204" t="s">
        <v>1248</v>
      </c>
      <c r="BJ78" s="204" t="s">
        <v>1412</v>
      </c>
      <c r="BK78" s="353">
        <v>50447</v>
      </c>
      <c r="BL78" s="353">
        <v>3</v>
      </c>
      <c r="BM78" s="353">
        <v>49</v>
      </c>
      <c r="BN78" s="353">
        <v>1</v>
      </c>
      <c r="BO78" s="353">
        <v>48</v>
      </c>
      <c r="BP78" s="353">
        <v>0</v>
      </c>
      <c r="BQ78" s="353">
        <v>666</v>
      </c>
      <c r="BR78" s="204" t="s">
        <v>1261</v>
      </c>
      <c r="BS78" s="204" t="s">
        <v>1248</v>
      </c>
      <c r="BT78" s="353">
        <v>27</v>
      </c>
      <c r="BU78" s="353">
        <v>44866</v>
      </c>
      <c r="BV78" s="204" t="s">
        <v>1248</v>
      </c>
      <c r="BW78" s="204" t="s">
        <v>1253</v>
      </c>
      <c r="BX78" s="204" t="s">
        <v>1248</v>
      </c>
      <c r="BY78" s="204" t="s">
        <v>1248</v>
      </c>
      <c r="BZ78" s="204" t="s">
        <v>1413</v>
      </c>
      <c r="CA78" s="353">
        <v>50447</v>
      </c>
      <c r="CB78" s="353">
        <v>882.20875987500006</v>
      </c>
      <c r="CC78" s="204" t="s">
        <v>410</v>
      </c>
      <c r="CD78" s="204" t="s">
        <v>300</v>
      </c>
      <c r="CE78" s="204" t="s">
        <v>301</v>
      </c>
      <c r="CF78" s="204" t="s">
        <v>1335</v>
      </c>
      <c r="CG78" s="204" t="s">
        <v>1256</v>
      </c>
      <c r="CH78" s="204" t="s">
        <v>1298</v>
      </c>
      <c r="CI78" s="204" t="s">
        <v>351</v>
      </c>
      <c r="CJ78" s="204" t="s">
        <v>678</v>
      </c>
      <c r="CK78" s="353">
        <v>-9999</v>
      </c>
      <c r="CM78" s="353">
        <v>-9999</v>
      </c>
      <c r="CO78" s="353">
        <v>-9999</v>
      </c>
      <c r="CS78" s="353">
        <v>-9999</v>
      </c>
      <c r="CT78" s="353">
        <v>-9999</v>
      </c>
      <c r="CV78" s="204" t="s">
        <v>1336</v>
      </c>
      <c r="CW78" s="353">
        <v>5.28165524707E-4</v>
      </c>
      <c r="CX78" s="204">
        <v>481</v>
      </c>
      <c r="CY78" s="204">
        <v>0</v>
      </c>
      <c r="CZ78" s="204">
        <v>0</v>
      </c>
      <c r="DA78" s="204">
        <v>10</v>
      </c>
      <c r="DB78" s="353">
        <v>0</v>
      </c>
      <c r="DC78" s="353">
        <v>0</v>
      </c>
      <c r="DD78" s="204">
        <v>5</v>
      </c>
      <c r="DE78" s="353">
        <v>419.29497940900001</v>
      </c>
      <c r="DF78" s="353">
        <v>2051.2932953700001</v>
      </c>
      <c r="DG78" s="353">
        <v>0.17013133497300001</v>
      </c>
      <c r="DH78" s="353">
        <v>44924.532036800003</v>
      </c>
    </row>
    <row r="79" spans="1:112">
      <c r="A79" s="204">
        <v>483</v>
      </c>
      <c r="B79" s="204">
        <v>1</v>
      </c>
      <c r="C79" s="204">
        <v>9875</v>
      </c>
      <c r="D79" s="204">
        <v>2</v>
      </c>
      <c r="E79" s="204">
        <v>483</v>
      </c>
      <c r="F79" s="204">
        <v>0</v>
      </c>
      <c r="G79" s="204">
        <v>483</v>
      </c>
      <c r="H79" s="204" t="s">
        <v>1043</v>
      </c>
      <c r="I79" s="354">
        <v>37462</v>
      </c>
      <c r="J79" s="204" t="s">
        <v>1043</v>
      </c>
      <c r="K79" s="204" t="s">
        <v>1332</v>
      </c>
      <c r="L79" s="204" t="s">
        <v>1288</v>
      </c>
      <c r="M79" s="204" t="s">
        <v>1044</v>
      </c>
      <c r="N79" s="353">
        <v>100</v>
      </c>
      <c r="O79" s="204" t="s">
        <v>1414</v>
      </c>
      <c r="P79" s="204" t="s">
        <v>1045</v>
      </c>
      <c r="R79" s="204" t="s">
        <v>1248</v>
      </c>
      <c r="S79" s="353">
        <v>0</v>
      </c>
      <c r="T79" s="204" t="s">
        <v>586</v>
      </c>
      <c r="U79" s="204" t="s">
        <v>307</v>
      </c>
      <c r="W79" s="204" t="s">
        <v>1046</v>
      </c>
      <c r="Z79" s="204" t="s">
        <v>309</v>
      </c>
      <c r="AA79" s="204" t="s">
        <v>310</v>
      </c>
      <c r="AB79" s="204" t="s">
        <v>1299</v>
      </c>
      <c r="AC79" s="204" t="s">
        <v>1278</v>
      </c>
      <c r="AD79" s="204" t="s">
        <v>384</v>
      </c>
      <c r="AE79" s="353">
        <v>200000</v>
      </c>
      <c r="AF79" s="353">
        <v>190000</v>
      </c>
      <c r="AG79" s="353">
        <v>0</v>
      </c>
      <c r="AH79" s="204" t="s">
        <v>423</v>
      </c>
      <c r="AI79" s="353">
        <v>1</v>
      </c>
      <c r="AJ79" s="353">
        <v>1</v>
      </c>
      <c r="AK79" s="353">
        <v>3</v>
      </c>
      <c r="AL79" s="353">
        <v>1.5</v>
      </c>
      <c r="AM79" s="353">
        <v>9</v>
      </c>
      <c r="AN79" s="204" t="s">
        <v>186</v>
      </c>
      <c r="AO79" s="204" t="s">
        <v>1261</v>
      </c>
      <c r="AP79" s="204" t="s">
        <v>1248</v>
      </c>
      <c r="AQ79" s="353">
        <v>2</v>
      </c>
      <c r="AR79" s="204" t="s">
        <v>1296</v>
      </c>
      <c r="AS79" s="204" t="s">
        <v>1415</v>
      </c>
      <c r="AT79" s="204" t="s">
        <v>1282</v>
      </c>
      <c r="AU79" s="204" t="s">
        <v>1248</v>
      </c>
      <c r="AV79" s="204" t="s">
        <v>1047</v>
      </c>
      <c r="AW79" s="204" t="s">
        <v>1248</v>
      </c>
      <c r="AX79" s="204" t="s">
        <v>1294</v>
      </c>
      <c r="AY79" s="204" t="s">
        <v>302</v>
      </c>
      <c r="AZ79" s="204" t="s">
        <v>1248</v>
      </c>
      <c r="BA79" s="204" t="s">
        <v>1248</v>
      </c>
      <c r="BB79" s="204" t="s">
        <v>1416</v>
      </c>
      <c r="BC79" s="353">
        <v>3320</v>
      </c>
      <c r="BD79" s="353">
        <v>2460</v>
      </c>
      <c r="BE79" s="204" t="s">
        <v>723</v>
      </c>
      <c r="BF79" s="353">
        <v>0</v>
      </c>
      <c r="BG79" s="204" t="s">
        <v>1248</v>
      </c>
      <c r="BH79" s="204" t="s">
        <v>1248</v>
      </c>
      <c r="BI79" s="204" t="s">
        <v>723</v>
      </c>
      <c r="BK79" s="353">
        <v>0</v>
      </c>
      <c r="BL79" s="353">
        <v>0</v>
      </c>
      <c r="BM79" s="353">
        <v>0</v>
      </c>
      <c r="BN79" s="353">
        <v>0</v>
      </c>
      <c r="BO79" s="353">
        <v>0</v>
      </c>
      <c r="BP79" s="353">
        <v>0</v>
      </c>
      <c r="BQ79" s="353">
        <v>0</v>
      </c>
      <c r="BT79" s="353">
        <v>0</v>
      </c>
      <c r="BU79" s="353">
        <v>0</v>
      </c>
      <c r="CA79" s="353">
        <v>0</v>
      </c>
      <c r="CB79" s="353">
        <v>253.29361581200001</v>
      </c>
      <c r="CC79" s="204" t="s">
        <v>425</v>
      </c>
      <c r="CD79" s="204" t="s">
        <v>300</v>
      </c>
      <c r="CE79" s="204" t="s">
        <v>301</v>
      </c>
      <c r="CF79" s="204" t="s">
        <v>1417</v>
      </c>
      <c r="CG79" s="204" t="s">
        <v>1256</v>
      </c>
      <c r="CH79" s="204" t="s">
        <v>1298</v>
      </c>
      <c r="CI79" s="204" t="s">
        <v>351</v>
      </c>
      <c r="CJ79" s="204" t="s">
        <v>678</v>
      </c>
      <c r="CK79" s="353">
        <v>-9999</v>
      </c>
      <c r="CM79" s="353">
        <v>-9999</v>
      </c>
      <c r="CO79" s="353">
        <v>-9999</v>
      </c>
      <c r="CS79" s="353">
        <v>-9999</v>
      </c>
      <c r="CT79" s="353">
        <v>-9999</v>
      </c>
      <c r="CV79" s="204" t="s">
        <v>1265</v>
      </c>
      <c r="CW79" s="353">
        <v>2.0708160274800001E-3</v>
      </c>
      <c r="CX79" s="204">
        <v>483</v>
      </c>
      <c r="CY79" s="204">
        <v>0</v>
      </c>
      <c r="CZ79" s="204">
        <v>0</v>
      </c>
      <c r="DA79" s="204">
        <v>10</v>
      </c>
      <c r="DB79" s="353">
        <v>0</v>
      </c>
      <c r="DC79" s="353">
        <v>0</v>
      </c>
      <c r="DD79" s="204">
        <v>5</v>
      </c>
      <c r="DE79" s="353">
        <v>6921.2260796299997</v>
      </c>
      <c r="DF79" s="353">
        <v>78518.964292499993</v>
      </c>
      <c r="DG79" s="353">
        <v>0.43445215595699999</v>
      </c>
      <c r="DH79" s="353">
        <v>3399.1418353700001</v>
      </c>
    </row>
    <row r="80" spans="1:112">
      <c r="A80" s="204">
        <v>484</v>
      </c>
      <c r="B80" s="204">
        <v>1</v>
      </c>
      <c r="C80" s="204">
        <v>9876</v>
      </c>
      <c r="D80" s="204">
        <v>2</v>
      </c>
      <c r="E80" s="204">
        <v>484</v>
      </c>
      <c r="F80" s="204">
        <v>0</v>
      </c>
      <c r="G80" s="204">
        <v>484</v>
      </c>
      <c r="H80" s="204" t="s">
        <v>1048</v>
      </c>
      <c r="I80" s="354">
        <v>37462</v>
      </c>
      <c r="J80" s="204" t="s">
        <v>1048</v>
      </c>
      <c r="K80" s="204" t="s">
        <v>1332</v>
      </c>
      <c r="L80" s="204" t="s">
        <v>1294</v>
      </c>
      <c r="M80" s="204" t="s">
        <v>1049</v>
      </c>
      <c r="N80" s="353">
        <v>100</v>
      </c>
      <c r="P80" s="204" t="s">
        <v>1045</v>
      </c>
      <c r="R80" s="204" t="s">
        <v>1296</v>
      </c>
      <c r="S80" s="353">
        <v>0</v>
      </c>
      <c r="T80" s="204" t="s">
        <v>586</v>
      </c>
      <c r="U80" s="204" t="s">
        <v>307</v>
      </c>
      <c r="W80" s="204" t="s">
        <v>1050</v>
      </c>
      <c r="Z80" s="204" t="s">
        <v>309</v>
      </c>
      <c r="AA80" s="204" t="s">
        <v>310</v>
      </c>
      <c r="AB80" s="204" t="s">
        <v>1299</v>
      </c>
      <c r="AC80" s="204" t="s">
        <v>1278</v>
      </c>
      <c r="AD80" s="204" t="s">
        <v>384</v>
      </c>
      <c r="AE80" s="353">
        <v>78071</v>
      </c>
      <c r="AF80" s="353">
        <v>32621</v>
      </c>
      <c r="AG80" s="353">
        <v>0</v>
      </c>
      <c r="AH80" s="204" t="s">
        <v>423</v>
      </c>
      <c r="AI80" s="353">
        <v>1</v>
      </c>
      <c r="AJ80" s="353">
        <v>1</v>
      </c>
      <c r="AK80" s="353">
        <v>4</v>
      </c>
      <c r="AL80" s="353">
        <v>2</v>
      </c>
      <c r="AM80" s="353">
        <v>12</v>
      </c>
      <c r="AN80" s="204" t="s">
        <v>186</v>
      </c>
      <c r="AO80" s="204" t="s">
        <v>1261</v>
      </c>
      <c r="AP80" s="204" t="s">
        <v>1248</v>
      </c>
      <c r="AQ80" s="353">
        <v>2</v>
      </c>
      <c r="AR80" s="204" t="s">
        <v>1296</v>
      </c>
      <c r="AS80" s="204" t="s">
        <v>1281</v>
      </c>
      <c r="AT80" s="204" t="s">
        <v>1248</v>
      </c>
      <c r="AU80" s="204" t="s">
        <v>1248</v>
      </c>
      <c r="AV80" s="204" t="s">
        <v>1047</v>
      </c>
      <c r="AW80" s="204" t="s">
        <v>1248</v>
      </c>
      <c r="AX80" s="204" t="s">
        <v>1294</v>
      </c>
      <c r="AY80" s="204" t="s">
        <v>302</v>
      </c>
      <c r="AZ80" s="204" t="s">
        <v>1248</v>
      </c>
      <c r="BA80" s="204" t="s">
        <v>579</v>
      </c>
      <c r="BB80" s="204" t="s">
        <v>1418</v>
      </c>
      <c r="BC80" s="353">
        <v>3680</v>
      </c>
      <c r="BD80" s="353">
        <v>2750</v>
      </c>
      <c r="BE80" s="204" t="s">
        <v>723</v>
      </c>
      <c r="BF80" s="353">
        <v>0</v>
      </c>
      <c r="BG80" s="204" t="s">
        <v>1248</v>
      </c>
      <c r="BH80" s="204" t="s">
        <v>1296</v>
      </c>
      <c r="BI80" s="204" t="s">
        <v>1419</v>
      </c>
      <c r="BK80" s="353">
        <v>0</v>
      </c>
      <c r="BL80" s="353">
        <v>0</v>
      </c>
      <c r="BM80" s="353">
        <v>0</v>
      </c>
      <c r="BN80" s="353">
        <v>0</v>
      </c>
      <c r="BO80" s="353">
        <v>0</v>
      </c>
      <c r="BP80" s="353">
        <v>0</v>
      </c>
      <c r="BQ80" s="353">
        <v>0</v>
      </c>
      <c r="BT80" s="353">
        <v>0</v>
      </c>
      <c r="BU80" s="353">
        <v>0</v>
      </c>
      <c r="CA80" s="353">
        <v>0</v>
      </c>
      <c r="CB80" s="353">
        <v>260.82659532299999</v>
      </c>
      <c r="CC80" s="204" t="s">
        <v>425</v>
      </c>
      <c r="CD80" s="204" t="s">
        <v>300</v>
      </c>
      <c r="CE80" s="204" t="s">
        <v>301</v>
      </c>
      <c r="CF80" s="204" t="s">
        <v>1417</v>
      </c>
      <c r="CG80" s="204" t="s">
        <v>1256</v>
      </c>
      <c r="CH80" s="204" t="s">
        <v>1298</v>
      </c>
      <c r="CI80" s="204" t="s">
        <v>351</v>
      </c>
      <c r="CJ80" s="204" t="s">
        <v>678</v>
      </c>
      <c r="CK80" s="353">
        <v>-9999</v>
      </c>
      <c r="CM80" s="353">
        <v>-9999</v>
      </c>
      <c r="CO80" s="353">
        <v>-9999</v>
      </c>
      <c r="CS80" s="353">
        <v>-9999</v>
      </c>
      <c r="CT80" s="353">
        <v>-9999</v>
      </c>
      <c r="CV80" s="204" t="s">
        <v>1265</v>
      </c>
      <c r="CW80" s="353">
        <v>2.0708160274800001E-3</v>
      </c>
      <c r="CX80" s="204">
        <v>484</v>
      </c>
      <c r="CY80" s="204">
        <v>0</v>
      </c>
      <c r="CZ80" s="204">
        <v>0</v>
      </c>
      <c r="DA80" s="204">
        <v>10</v>
      </c>
      <c r="DB80" s="353">
        <v>0</v>
      </c>
      <c r="DC80" s="353">
        <v>0</v>
      </c>
      <c r="DD80" s="204">
        <v>5</v>
      </c>
      <c r="DE80" s="353">
        <v>6921.2260796299997</v>
      </c>
      <c r="DF80" s="353">
        <v>78518.964292499993</v>
      </c>
      <c r="DG80" s="353">
        <v>0.43445215595699999</v>
      </c>
      <c r="DH80" s="353">
        <v>3935.4206776599999</v>
      </c>
    </row>
    <row r="81" spans="1:112">
      <c r="A81" s="204">
        <v>485</v>
      </c>
      <c r="B81" s="204">
        <v>1</v>
      </c>
      <c r="C81" s="204">
        <v>9905</v>
      </c>
      <c r="D81" s="204">
        <v>0</v>
      </c>
      <c r="E81" s="204">
        <v>485</v>
      </c>
      <c r="F81" s="204">
        <v>0</v>
      </c>
      <c r="G81" s="204">
        <v>485</v>
      </c>
      <c r="H81" s="204" t="s">
        <v>494</v>
      </c>
      <c r="I81" s="354">
        <v>37462</v>
      </c>
      <c r="J81" s="204" t="s">
        <v>494</v>
      </c>
      <c r="K81" s="204" t="s">
        <v>1332</v>
      </c>
      <c r="L81" s="204" t="s">
        <v>1253</v>
      </c>
      <c r="M81" s="204" t="s">
        <v>495</v>
      </c>
      <c r="N81" s="353">
        <v>100</v>
      </c>
      <c r="O81" s="204" t="s">
        <v>1420</v>
      </c>
      <c r="P81" s="204" t="s">
        <v>496</v>
      </c>
      <c r="R81" s="204" t="s">
        <v>1248</v>
      </c>
      <c r="S81" s="353">
        <v>0</v>
      </c>
      <c r="T81" s="204" t="s">
        <v>314</v>
      </c>
      <c r="U81" s="204" t="s">
        <v>307</v>
      </c>
      <c r="W81" s="204" t="s">
        <v>497</v>
      </c>
      <c r="Z81" s="204" t="s">
        <v>309</v>
      </c>
      <c r="AA81" s="204" t="s">
        <v>310</v>
      </c>
      <c r="AB81" s="204" t="s">
        <v>1421</v>
      </c>
      <c r="AC81" s="204" t="s">
        <v>1292</v>
      </c>
      <c r="AD81" s="204" t="s">
        <v>1251</v>
      </c>
      <c r="AE81" s="353">
        <v>19975</v>
      </c>
      <c r="AF81" s="353">
        <v>13967</v>
      </c>
      <c r="AG81" s="353">
        <v>0</v>
      </c>
      <c r="AH81" s="204" t="s">
        <v>298</v>
      </c>
      <c r="AI81" s="353">
        <v>0</v>
      </c>
      <c r="AJ81" s="353">
        <v>3</v>
      </c>
      <c r="AK81" s="353">
        <v>0</v>
      </c>
      <c r="AL81" s="353">
        <v>0</v>
      </c>
      <c r="AM81" s="353">
        <v>0</v>
      </c>
      <c r="AQ81" s="353">
        <v>0</v>
      </c>
      <c r="BC81" s="353">
        <v>0</v>
      </c>
      <c r="BD81" s="353">
        <v>0</v>
      </c>
      <c r="BF81" s="353">
        <v>0</v>
      </c>
      <c r="BG81" s="204" t="s">
        <v>1248</v>
      </c>
      <c r="BH81" s="204" t="s">
        <v>1248</v>
      </c>
      <c r="BJ81" s="204" t="s">
        <v>1270</v>
      </c>
      <c r="BK81" s="353">
        <v>1629</v>
      </c>
      <c r="BL81" s="353">
        <v>1</v>
      </c>
      <c r="BM81" s="353">
        <v>3</v>
      </c>
      <c r="BN81" s="353">
        <v>2</v>
      </c>
      <c r="BO81" s="353">
        <v>1</v>
      </c>
      <c r="BP81" s="353">
        <v>0</v>
      </c>
      <c r="BQ81" s="353">
        <v>543</v>
      </c>
      <c r="BR81" s="204" t="s">
        <v>1261</v>
      </c>
      <c r="BS81" s="204" t="s">
        <v>1248</v>
      </c>
      <c r="BT81" s="353">
        <v>2</v>
      </c>
      <c r="BU81" s="353">
        <v>4900</v>
      </c>
      <c r="BV81" s="204" t="s">
        <v>1248</v>
      </c>
      <c r="BW81" s="204" t="s">
        <v>1253</v>
      </c>
      <c r="BX81" s="204" t="s">
        <v>1248</v>
      </c>
      <c r="BY81" s="204" t="s">
        <v>1248</v>
      </c>
      <c r="CA81" s="353">
        <v>1629</v>
      </c>
      <c r="CB81" s="353">
        <v>297.94997694900002</v>
      </c>
      <c r="CC81" s="204" t="s">
        <v>498</v>
      </c>
      <c r="CD81" s="204" t="s">
        <v>300</v>
      </c>
      <c r="CE81" s="204" t="s">
        <v>301</v>
      </c>
      <c r="CF81" s="204" t="s">
        <v>1389</v>
      </c>
      <c r="CG81" s="204" t="s">
        <v>1256</v>
      </c>
      <c r="CH81" s="204" t="s">
        <v>204</v>
      </c>
      <c r="CJ81" s="204" t="s">
        <v>302</v>
      </c>
      <c r="CK81" s="353">
        <v>-9999</v>
      </c>
      <c r="CM81" s="353">
        <v>2</v>
      </c>
      <c r="CN81" s="204" t="s">
        <v>1264</v>
      </c>
      <c r="CO81" s="353">
        <v>-9999</v>
      </c>
      <c r="CS81" s="353">
        <v>-9999</v>
      </c>
      <c r="CT81" s="353">
        <v>-9999</v>
      </c>
      <c r="CV81" s="204" t="s">
        <v>1336</v>
      </c>
      <c r="CW81" s="353">
        <v>1.05362509233E-5</v>
      </c>
      <c r="CX81" s="204">
        <v>485</v>
      </c>
      <c r="CY81" s="204">
        <v>0</v>
      </c>
      <c r="CZ81" s="204">
        <v>0</v>
      </c>
      <c r="DA81" s="204">
        <v>10</v>
      </c>
      <c r="DB81" s="353">
        <v>0</v>
      </c>
      <c r="DC81" s="353">
        <v>0</v>
      </c>
      <c r="DD81" s="204">
        <v>10</v>
      </c>
      <c r="DE81" s="353">
        <v>0</v>
      </c>
      <c r="DF81" s="353">
        <v>0</v>
      </c>
      <c r="DG81" s="353">
        <v>2.34598251706E-2</v>
      </c>
      <c r="DH81" s="353">
        <v>4888.97109198</v>
      </c>
    </row>
    <row r="82" spans="1:112">
      <c r="A82" s="204">
        <v>486</v>
      </c>
      <c r="B82" s="204">
        <v>1</v>
      </c>
      <c r="C82" s="204">
        <v>9906</v>
      </c>
      <c r="D82" s="204">
        <v>0</v>
      </c>
      <c r="E82" s="204">
        <v>486</v>
      </c>
      <c r="F82" s="204">
        <v>0</v>
      </c>
      <c r="G82" s="204">
        <v>486</v>
      </c>
      <c r="H82" s="204" t="s">
        <v>321</v>
      </c>
      <c r="I82" s="354">
        <v>37462</v>
      </c>
      <c r="J82" s="204" t="s">
        <v>321</v>
      </c>
      <c r="K82" s="204" t="s">
        <v>1332</v>
      </c>
      <c r="L82" s="204" t="s">
        <v>1294</v>
      </c>
      <c r="M82" s="204" t="s">
        <v>322</v>
      </c>
      <c r="N82" s="353">
        <v>100</v>
      </c>
      <c r="P82" s="204" t="s">
        <v>323</v>
      </c>
      <c r="R82" s="204" t="s">
        <v>1248</v>
      </c>
      <c r="S82" s="353">
        <v>0</v>
      </c>
      <c r="T82" s="204" t="s">
        <v>314</v>
      </c>
      <c r="U82" s="204" t="s">
        <v>307</v>
      </c>
      <c r="W82" s="204" t="s">
        <v>324</v>
      </c>
      <c r="Z82" s="204" t="s">
        <v>309</v>
      </c>
      <c r="AA82" s="204" t="s">
        <v>310</v>
      </c>
      <c r="AC82" s="204" t="s">
        <v>1259</v>
      </c>
      <c r="AD82" s="204" t="s">
        <v>1251</v>
      </c>
      <c r="AE82" s="353">
        <v>165900</v>
      </c>
      <c r="AF82" s="353">
        <v>332100</v>
      </c>
      <c r="AG82" s="353">
        <v>0</v>
      </c>
      <c r="AH82" s="204" t="s">
        <v>298</v>
      </c>
      <c r="AI82" s="353">
        <v>0</v>
      </c>
      <c r="AJ82" s="353">
        <v>4</v>
      </c>
      <c r="AK82" s="353">
        <v>0</v>
      </c>
      <c r="AL82" s="353">
        <v>0</v>
      </c>
      <c r="AM82" s="353">
        <v>0</v>
      </c>
      <c r="AQ82" s="353">
        <v>0</v>
      </c>
      <c r="BC82" s="353">
        <v>0</v>
      </c>
      <c r="BD82" s="353">
        <v>0</v>
      </c>
      <c r="BF82" s="353">
        <v>0</v>
      </c>
      <c r="BG82" s="204" t="s">
        <v>1248</v>
      </c>
      <c r="BH82" s="204" t="s">
        <v>1248</v>
      </c>
      <c r="BJ82" s="204" t="s">
        <v>1270</v>
      </c>
      <c r="BK82" s="353">
        <v>2868</v>
      </c>
      <c r="BL82" s="353">
        <v>1</v>
      </c>
      <c r="BM82" s="353">
        <v>5</v>
      </c>
      <c r="BN82" s="353">
        <v>4</v>
      </c>
      <c r="BO82" s="353">
        <v>1</v>
      </c>
      <c r="BP82" s="353">
        <v>0</v>
      </c>
      <c r="BQ82" s="353">
        <v>574</v>
      </c>
      <c r="BR82" s="204" t="s">
        <v>1261</v>
      </c>
      <c r="BS82" s="204" t="s">
        <v>1248</v>
      </c>
      <c r="BT82" s="353">
        <v>2</v>
      </c>
      <c r="BU82" s="353">
        <v>4900</v>
      </c>
      <c r="BV82" s="204" t="s">
        <v>1248</v>
      </c>
      <c r="BW82" s="204" t="s">
        <v>1253</v>
      </c>
      <c r="BX82" s="204" t="s">
        <v>1248</v>
      </c>
      <c r="BY82" s="204" t="s">
        <v>1248</v>
      </c>
      <c r="BZ82" s="204" t="s">
        <v>448</v>
      </c>
      <c r="CA82" s="353">
        <v>2868</v>
      </c>
      <c r="CB82" s="353">
        <v>297.61008091500003</v>
      </c>
      <c r="CC82" s="204" t="s">
        <v>299</v>
      </c>
      <c r="CD82" s="204" t="s">
        <v>300</v>
      </c>
      <c r="CE82" s="204" t="s">
        <v>301</v>
      </c>
      <c r="CF82" s="204" t="s">
        <v>1389</v>
      </c>
      <c r="CG82" s="204" t="s">
        <v>1256</v>
      </c>
      <c r="CH82" s="204" t="s">
        <v>204</v>
      </c>
      <c r="CJ82" s="204" t="s">
        <v>302</v>
      </c>
      <c r="CK82" s="353">
        <v>-9999</v>
      </c>
      <c r="CM82" s="353">
        <v>2</v>
      </c>
      <c r="CN82" s="204" t="s">
        <v>1264</v>
      </c>
      <c r="CO82" s="353">
        <v>-9999</v>
      </c>
      <c r="CS82" s="353">
        <v>-9999</v>
      </c>
      <c r="CT82" s="353">
        <v>-9999</v>
      </c>
      <c r="CV82" s="204" t="s">
        <v>1336</v>
      </c>
      <c r="CW82" s="353">
        <v>1.05362509233E-5</v>
      </c>
      <c r="CX82" s="204">
        <v>486</v>
      </c>
      <c r="CY82" s="204">
        <v>0</v>
      </c>
      <c r="CZ82" s="204">
        <v>0</v>
      </c>
      <c r="DA82" s="204">
        <v>10</v>
      </c>
      <c r="DB82" s="353">
        <v>0</v>
      </c>
      <c r="DC82" s="353">
        <v>0</v>
      </c>
      <c r="DD82" s="204">
        <v>10</v>
      </c>
      <c r="DE82" s="353">
        <v>0</v>
      </c>
      <c r="DF82" s="353">
        <v>0</v>
      </c>
      <c r="DG82" s="353">
        <v>2.34598251706E-2</v>
      </c>
      <c r="DH82" s="353">
        <v>4877.4796858099999</v>
      </c>
    </row>
    <row r="83" spans="1:112">
      <c r="A83" s="204">
        <v>488</v>
      </c>
      <c r="B83" s="204">
        <v>1</v>
      </c>
      <c r="C83" s="204">
        <v>9917</v>
      </c>
      <c r="D83" s="204">
        <v>0</v>
      </c>
      <c r="E83" s="204">
        <v>488</v>
      </c>
      <c r="F83" s="204">
        <v>0</v>
      </c>
      <c r="G83" s="204">
        <v>488</v>
      </c>
      <c r="H83" s="204" t="s">
        <v>394</v>
      </c>
      <c r="I83" s="354">
        <v>37462</v>
      </c>
      <c r="J83" s="204" t="s">
        <v>394</v>
      </c>
      <c r="K83" s="204" t="s">
        <v>1332</v>
      </c>
      <c r="L83" s="204" t="s">
        <v>1247</v>
      </c>
      <c r="M83" s="204" t="s">
        <v>395</v>
      </c>
      <c r="N83" s="353">
        <v>100</v>
      </c>
      <c r="P83" s="204" t="s">
        <v>396</v>
      </c>
      <c r="R83" s="204" t="s">
        <v>1248</v>
      </c>
      <c r="S83" s="353">
        <v>0.1</v>
      </c>
      <c r="T83" s="204" t="s">
        <v>397</v>
      </c>
      <c r="U83" s="204" t="s">
        <v>307</v>
      </c>
      <c r="W83" s="204" t="s">
        <v>398</v>
      </c>
      <c r="Z83" s="204" t="s">
        <v>309</v>
      </c>
      <c r="AA83" s="204" t="s">
        <v>310</v>
      </c>
      <c r="AB83" s="204" t="s">
        <v>713</v>
      </c>
      <c r="AC83" s="204" t="s">
        <v>1286</v>
      </c>
      <c r="AD83" s="204" t="s">
        <v>1251</v>
      </c>
      <c r="AE83" s="353">
        <v>75971</v>
      </c>
      <c r="AF83" s="353">
        <v>116155</v>
      </c>
      <c r="AG83" s="353">
        <v>3693</v>
      </c>
      <c r="AH83" s="204" t="s">
        <v>298</v>
      </c>
      <c r="AI83" s="353">
        <v>1</v>
      </c>
      <c r="AJ83" s="353">
        <v>1</v>
      </c>
      <c r="AK83" s="353">
        <v>0</v>
      </c>
      <c r="AL83" s="353">
        <v>0</v>
      </c>
      <c r="AM83" s="353">
        <v>0</v>
      </c>
      <c r="AQ83" s="353">
        <v>0</v>
      </c>
      <c r="BC83" s="353">
        <v>0</v>
      </c>
      <c r="BD83" s="353">
        <v>0</v>
      </c>
      <c r="BF83" s="353">
        <v>0</v>
      </c>
      <c r="BG83" s="204" t="s">
        <v>1248</v>
      </c>
      <c r="BH83" s="204" t="s">
        <v>1248</v>
      </c>
      <c r="BJ83" s="204" t="s">
        <v>1270</v>
      </c>
      <c r="BK83" s="353">
        <v>10560</v>
      </c>
      <c r="BL83" s="353">
        <v>3</v>
      </c>
      <c r="BM83" s="353">
        <v>19</v>
      </c>
      <c r="BN83" s="353">
        <v>19</v>
      </c>
      <c r="BO83" s="353">
        <v>0</v>
      </c>
      <c r="BP83" s="353">
        <v>0</v>
      </c>
      <c r="BQ83" s="353">
        <v>556</v>
      </c>
      <c r="BR83" s="204" t="s">
        <v>1248</v>
      </c>
      <c r="BS83" s="204" t="s">
        <v>1248</v>
      </c>
      <c r="BT83" s="353">
        <v>0</v>
      </c>
      <c r="BU83" s="353">
        <v>4375</v>
      </c>
      <c r="BV83" s="204" t="s">
        <v>1248</v>
      </c>
      <c r="BW83" s="204" t="s">
        <v>1253</v>
      </c>
      <c r="BX83" s="204" t="s">
        <v>1248</v>
      </c>
      <c r="BY83" s="204" t="s">
        <v>1248</v>
      </c>
      <c r="CA83" s="353">
        <v>10560</v>
      </c>
      <c r="CB83" s="353">
        <v>286.62385979999999</v>
      </c>
      <c r="CC83" s="204" t="s">
        <v>393</v>
      </c>
      <c r="CD83" s="204" t="s">
        <v>300</v>
      </c>
      <c r="CE83" s="204" t="s">
        <v>301</v>
      </c>
      <c r="CF83" s="204" t="s">
        <v>1389</v>
      </c>
      <c r="CG83" s="204" t="s">
        <v>1256</v>
      </c>
      <c r="CH83" s="204" t="s">
        <v>204</v>
      </c>
      <c r="CJ83" s="204" t="s">
        <v>302</v>
      </c>
      <c r="CK83" s="353">
        <v>-9999</v>
      </c>
      <c r="CM83" s="353">
        <v>2</v>
      </c>
      <c r="CN83" s="204" t="s">
        <v>1264</v>
      </c>
      <c r="CO83" s="353">
        <v>-9999</v>
      </c>
      <c r="CS83" s="353">
        <v>-9999</v>
      </c>
      <c r="CT83" s="353">
        <v>-9999</v>
      </c>
      <c r="CV83" s="204" t="s">
        <v>1336</v>
      </c>
      <c r="CW83" s="353">
        <v>1.05362509233E-5</v>
      </c>
      <c r="CX83" s="204">
        <v>488</v>
      </c>
      <c r="CY83" s="204">
        <v>0</v>
      </c>
      <c r="CZ83" s="204">
        <v>0</v>
      </c>
      <c r="DA83" s="204">
        <v>10</v>
      </c>
      <c r="DB83" s="353">
        <v>0</v>
      </c>
      <c r="DC83" s="353">
        <v>0</v>
      </c>
      <c r="DD83" s="204">
        <v>10</v>
      </c>
      <c r="DE83" s="353">
        <v>0</v>
      </c>
      <c r="DF83" s="353">
        <v>0</v>
      </c>
      <c r="DG83" s="353">
        <v>2.34598251706E-2</v>
      </c>
      <c r="DH83" s="353">
        <v>4340.8898990099997</v>
      </c>
    </row>
    <row r="84" spans="1:112">
      <c r="A84" s="204">
        <v>491</v>
      </c>
      <c r="B84" s="204">
        <v>1</v>
      </c>
      <c r="C84" s="204">
        <v>9935</v>
      </c>
      <c r="D84" s="204">
        <v>0</v>
      </c>
      <c r="E84" s="204">
        <v>491</v>
      </c>
      <c r="F84" s="204">
        <v>0</v>
      </c>
      <c r="G84" s="204">
        <v>491</v>
      </c>
      <c r="H84" s="204" t="s">
        <v>554</v>
      </c>
      <c r="I84" s="354">
        <v>37462</v>
      </c>
      <c r="J84" s="204" t="s">
        <v>554</v>
      </c>
      <c r="K84" s="204" t="s">
        <v>1332</v>
      </c>
      <c r="L84" s="204" t="s">
        <v>1294</v>
      </c>
      <c r="M84" s="204" t="s">
        <v>322</v>
      </c>
      <c r="N84" s="353">
        <v>100</v>
      </c>
      <c r="P84" s="204" t="s">
        <v>555</v>
      </c>
      <c r="R84" s="204" t="s">
        <v>1248</v>
      </c>
      <c r="S84" s="353">
        <v>0</v>
      </c>
      <c r="T84" s="204" t="s">
        <v>397</v>
      </c>
      <c r="U84" s="204" t="s">
        <v>307</v>
      </c>
      <c r="W84" s="204" t="s">
        <v>556</v>
      </c>
      <c r="X84" s="204" t="s">
        <v>1422</v>
      </c>
      <c r="Z84" s="204" t="s">
        <v>309</v>
      </c>
      <c r="AA84" s="204" t="s">
        <v>310</v>
      </c>
      <c r="AB84" s="204" t="s">
        <v>1423</v>
      </c>
      <c r="AC84" s="204" t="s">
        <v>1250</v>
      </c>
      <c r="AD84" s="204" t="s">
        <v>1251</v>
      </c>
      <c r="AE84" s="353">
        <v>153300</v>
      </c>
      <c r="AF84" s="353">
        <v>306700</v>
      </c>
      <c r="AG84" s="353">
        <v>0</v>
      </c>
      <c r="AH84" s="204" t="s">
        <v>298</v>
      </c>
      <c r="AI84" s="353">
        <v>1</v>
      </c>
      <c r="AJ84" s="353">
        <v>1</v>
      </c>
      <c r="AK84" s="353">
        <v>0</v>
      </c>
      <c r="AL84" s="353">
        <v>0</v>
      </c>
      <c r="AM84" s="353">
        <v>0</v>
      </c>
      <c r="AQ84" s="353">
        <v>0</v>
      </c>
      <c r="BC84" s="353">
        <v>0</v>
      </c>
      <c r="BD84" s="353">
        <v>0</v>
      </c>
      <c r="BF84" s="353">
        <v>0</v>
      </c>
      <c r="BG84" s="204" t="s">
        <v>1248</v>
      </c>
      <c r="BH84" s="204" t="s">
        <v>1248</v>
      </c>
      <c r="BJ84" s="204" t="s">
        <v>1301</v>
      </c>
      <c r="BK84" s="353">
        <v>4020</v>
      </c>
      <c r="BL84" s="353">
        <v>2</v>
      </c>
      <c r="BM84" s="353">
        <v>4</v>
      </c>
      <c r="BN84" s="353">
        <v>4</v>
      </c>
      <c r="BO84" s="353">
        <v>0</v>
      </c>
      <c r="BP84" s="353">
        <v>0</v>
      </c>
      <c r="BQ84" s="353">
        <v>1005</v>
      </c>
      <c r="BR84" s="204" t="s">
        <v>1261</v>
      </c>
      <c r="BS84" s="204" t="s">
        <v>1248</v>
      </c>
      <c r="BT84" s="353">
        <v>3</v>
      </c>
      <c r="BU84" s="353">
        <v>4180</v>
      </c>
      <c r="BV84" s="204" t="s">
        <v>1248</v>
      </c>
      <c r="BW84" s="204" t="s">
        <v>1253</v>
      </c>
      <c r="BX84" s="204" t="s">
        <v>1248</v>
      </c>
      <c r="BY84" s="204" t="s">
        <v>1248</v>
      </c>
      <c r="BZ84" s="204" t="s">
        <v>1118</v>
      </c>
      <c r="CA84" s="353">
        <v>4020</v>
      </c>
      <c r="CB84" s="353">
        <v>282.59612589900001</v>
      </c>
      <c r="CC84" s="204" t="s">
        <v>517</v>
      </c>
      <c r="CD84" s="204" t="s">
        <v>300</v>
      </c>
      <c r="CE84" s="204" t="s">
        <v>301</v>
      </c>
      <c r="CF84" s="204" t="s">
        <v>1389</v>
      </c>
      <c r="CG84" s="204" t="s">
        <v>1256</v>
      </c>
      <c r="CH84" s="204" t="s">
        <v>204</v>
      </c>
      <c r="CJ84" s="204" t="s">
        <v>302</v>
      </c>
      <c r="CK84" s="353">
        <v>-9999</v>
      </c>
      <c r="CM84" s="353">
        <v>2</v>
      </c>
      <c r="CN84" s="204" t="s">
        <v>1264</v>
      </c>
      <c r="CO84" s="353">
        <v>-9999</v>
      </c>
      <c r="CS84" s="353">
        <v>-9999</v>
      </c>
      <c r="CT84" s="353">
        <v>-9999</v>
      </c>
      <c r="CV84" s="204" t="s">
        <v>1336</v>
      </c>
      <c r="CW84" s="353">
        <v>1.05362509233E-5</v>
      </c>
      <c r="CX84" s="204">
        <v>491</v>
      </c>
      <c r="CY84" s="204">
        <v>0</v>
      </c>
      <c r="CZ84" s="204">
        <v>0</v>
      </c>
      <c r="DA84" s="204">
        <v>10</v>
      </c>
      <c r="DB84" s="353">
        <v>0</v>
      </c>
      <c r="DC84" s="353">
        <v>0</v>
      </c>
      <c r="DD84" s="204">
        <v>10</v>
      </c>
      <c r="DE84" s="353">
        <v>0</v>
      </c>
      <c r="DF84" s="353">
        <v>0</v>
      </c>
      <c r="DG84" s="353">
        <v>2.34598251706E-2</v>
      </c>
      <c r="DH84" s="353">
        <v>4345.9217345099996</v>
      </c>
    </row>
    <row r="85" spans="1:112">
      <c r="A85" s="204">
        <v>504</v>
      </c>
      <c r="B85" s="204">
        <v>1</v>
      </c>
      <c r="C85" s="204">
        <v>10660</v>
      </c>
      <c r="D85" s="204">
        <v>4</v>
      </c>
      <c r="E85" s="204">
        <v>504</v>
      </c>
      <c r="F85" s="204">
        <v>0</v>
      </c>
      <c r="G85" s="204">
        <v>504</v>
      </c>
      <c r="H85" s="204" t="s">
        <v>1051</v>
      </c>
      <c r="I85" s="354">
        <v>37462</v>
      </c>
      <c r="J85" s="204" t="s">
        <v>1051</v>
      </c>
      <c r="K85" s="204" t="s">
        <v>1424</v>
      </c>
      <c r="L85" s="204" t="s">
        <v>1247</v>
      </c>
      <c r="M85" s="204" t="s">
        <v>1052</v>
      </c>
      <c r="N85" s="353">
        <v>100</v>
      </c>
      <c r="O85" s="204" t="s">
        <v>1425</v>
      </c>
      <c r="P85" s="204" t="s">
        <v>1053</v>
      </c>
      <c r="R85" s="204" t="s">
        <v>1248</v>
      </c>
      <c r="S85" s="353">
        <v>2.5499999999999998</v>
      </c>
      <c r="T85" s="204" t="s">
        <v>1054</v>
      </c>
      <c r="U85" s="204" t="s">
        <v>294</v>
      </c>
      <c r="W85" s="204" t="s">
        <v>1055</v>
      </c>
      <c r="Z85" s="204" t="s">
        <v>1056</v>
      </c>
      <c r="AA85" s="204" t="s">
        <v>1057</v>
      </c>
      <c r="AB85" s="204" t="s">
        <v>1426</v>
      </c>
      <c r="AC85" s="204" t="s">
        <v>1278</v>
      </c>
      <c r="AD85" s="204" t="s">
        <v>384</v>
      </c>
      <c r="AE85" s="353">
        <v>24169</v>
      </c>
      <c r="AF85" s="353">
        <v>73835</v>
      </c>
      <c r="AG85" s="353">
        <v>0</v>
      </c>
      <c r="AH85" s="204" t="s">
        <v>423</v>
      </c>
      <c r="AI85" s="353">
        <v>1</v>
      </c>
      <c r="AJ85" s="353">
        <v>1</v>
      </c>
      <c r="AK85" s="353">
        <v>7</v>
      </c>
      <c r="AL85" s="353">
        <v>3.5</v>
      </c>
      <c r="AM85" s="353">
        <v>17</v>
      </c>
      <c r="AN85" s="204" t="s">
        <v>186</v>
      </c>
      <c r="AO85" s="204" t="s">
        <v>1261</v>
      </c>
      <c r="AP85" s="204" t="s">
        <v>1248</v>
      </c>
      <c r="AQ85" s="353">
        <v>1</v>
      </c>
      <c r="AR85" s="204" t="s">
        <v>1248</v>
      </c>
      <c r="AS85" s="204" t="s">
        <v>1310</v>
      </c>
      <c r="AT85" s="204" t="s">
        <v>1282</v>
      </c>
      <c r="AU85" s="204" t="s">
        <v>1248</v>
      </c>
      <c r="AV85" s="204" t="s">
        <v>1058</v>
      </c>
      <c r="AW85" s="204" t="s">
        <v>1248</v>
      </c>
      <c r="AX85" s="204" t="s">
        <v>1253</v>
      </c>
      <c r="AY85" s="204" t="s">
        <v>1261</v>
      </c>
      <c r="AZ85" s="204" t="s">
        <v>1248</v>
      </c>
      <c r="BA85" s="204" t="s">
        <v>1310</v>
      </c>
      <c r="BB85" s="204" t="s">
        <v>1427</v>
      </c>
      <c r="BC85" s="353">
        <v>110880</v>
      </c>
      <c r="BD85" s="353">
        <v>5046</v>
      </c>
      <c r="BE85" s="204" t="s">
        <v>723</v>
      </c>
      <c r="BF85" s="353">
        <v>0</v>
      </c>
      <c r="BG85" s="204" t="s">
        <v>1248</v>
      </c>
      <c r="BH85" s="204" t="s">
        <v>1296</v>
      </c>
      <c r="BI85" s="204" t="s">
        <v>798</v>
      </c>
      <c r="BK85" s="353">
        <v>0</v>
      </c>
      <c r="BL85" s="353">
        <v>0</v>
      </c>
      <c r="BM85" s="353">
        <v>0</v>
      </c>
      <c r="BN85" s="353">
        <v>0</v>
      </c>
      <c r="BO85" s="353">
        <v>0</v>
      </c>
      <c r="BP85" s="353">
        <v>0</v>
      </c>
      <c r="BQ85" s="353">
        <v>0</v>
      </c>
      <c r="BT85" s="353">
        <v>0</v>
      </c>
      <c r="BU85" s="353">
        <v>0</v>
      </c>
      <c r="CA85" s="353">
        <v>0</v>
      </c>
      <c r="CB85" s="353">
        <v>1565.1887407700001</v>
      </c>
      <c r="CC85" s="204" t="s">
        <v>425</v>
      </c>
      <c r="CD85" s="204" t="s">
        <v>300</v>
      </c>
      <c r="CE85" s="204" t="s">
        <v>301</v>
      </c>
      <c r="CF85" s="204" t="s">
        <v>1428</v>
      </c>
      <c r="CG85" s="204" t="s">
        <v>1256</v>
      </c>
      <c r="CH85" s="204" t="s">
        <v>1298</v>
      </c>
      <c r="CI85" s="204" t="s">
        <v>351</v>
      </c>
      <c r="CJ85" s="204" t="s">
        <v>678</v>
      </c>
      <c r="CK85" s="353">
        <v>-9999</v>
      </c>
      <c r="CM85" s="353">
        <v>-9999</v>
      </c>
      <c r="CO85" s="353">
        <v>-9999</v>
      </c>
      <c r="CS85" s="353">
        <v>-9999</v>
      </c>
      <c r="CT85" s="353">
        <v>-9999</v>
      </c>
      <c r="CV85" s="204" t="s">
        <v>1429</v>
      </c>
      <c r="CW85" s="353">
        <v>7.47307226846E-4</v>
      </c>
      <c r="CX85" s="204">
        <v>504</v>
      </c>
      <c r="CY85" s="204">
        <v>0</v>
      </c>
      <c r="CZ85" s="204">
        <v>0</v>
      </c>
      <c r="DA85" s="204">
        <v>10</v>
      </c>
      <c r="DB85" s="353">
        <v>0</v>
      </c>
      <c r="DC85" s="353">
        <v>0</v>
      </c>
      <c r="DD85" s="204">
        <v>5</v>
      </c>
      <c r="DE85" s="353">
        <v>2586.4975814999998</v>
      </c>
      <c r="DF85" s="353">
        <v>24044.810018600001</v>
      </c>
      <c r="DG85" s="353">
        <v>0.243181757208</v>
      </c>
      <c r="DH85" s="353">
        <v>111645.31279900001</v>
      </c>
    </row>
    <row r="86" spans="1:112">
      <c r="A86" s="204">
        <v>963</v>
      </c>
      <c r="B86" s="204">
        <v>1</v>
      </c>
      <c r="C86" s="204">
        <v>15975</v>
      </c>
      <c r="D86" s="204">
        <v>0</v>
      </c>
      <c r="E86" s="204">
        <v>963</v>
      </c>
      <c r="F86" s="204">
        <v>1</v>
      </c>
      <c r="G86" s="204">
        <v>963</v>
      </c>
      <c r="H86" s="204" t="s">
        <v>747</v>
      </c>
      <c r="I86" s="354">
        <v>37462</v>
      </c>
      <c r="J86" s="204" t="s">
        <v>747</v>
      </c>
      <c r="K86" s="204" t="s">
        <v>1430</v>
      </c>
      <c r="L86" s="204" t="s">
        <v>1266</v>
      </c>
      <c r="M86" s="204" t="s">
        <v>748</v>
      </c>
      <c r="N86" s="353">
        <v>100</v>
      </c>
      <c r="P86" s="204" t="s">
        <v>749</v>
      </c>
      <c r="R86" s="204" t="s">
        <v>1248</v>
      </c>
      <c r="S86" s="353">
        <v>0</v>
      </c>
      <c r="T86" s="204" t="s">
        <v>708</v>
      </c>
      <c r="U86" s="204" t="s">
        <v>307</v>
      </c>
      <c r="W86" s="204" t="s">
        <v>750</v>
      </c>
      <c r="Z86" s="204" t="s">
        <v>369</v>
      </c>
      <c r="AA86" s="204" t="s">
        <v>704</v>
      </c>
      <c r="AB86" s="204" t="s">
        <v>1431</v>
      </c>
      <c r="AC86" s="204" t="s">
        <v>1278</v>
      </c>
      <c r="AD86" s="204" t="s">
        <v>384</v>
      </c>
      <c r="AE86" s="353">
        <v>140000</v>
      </c>
      <c r="AF86" s="353">
        <v>80000</v>
      </c>
      <c r="AG86" s="353">
        <v>0</v>
      </c>
      <c r="AH86" s="204" t="s">
        <v>423</v>
      </c>
      <c r="AI86" s="353">
        <v>1</v>
      </c>
      <c r="AJ86" s="353">
        <v>1</v>
      </c>
      <c r="AK86" s="353">
        <v>4</v>
      </c>
      <c r="AL86" s="353">
        <v>2</v>
      </c>
      <c r="AM86" s="353">
        <v>9</v>
      </c>
      <c r="AN86" s="204" t="s">
        <v>186</v>
      </c>
      <c r="AO86" s="204" t="s">
        <v>1248</v>
      </c>
      <c r="AP86" s="204" t="s">
        <v>1271</v>
      </c>
      <c r="AQ86" s="353">
        <v>2</v>
      </c>
      <c r="AR86" s="204" t="s">
        <v>1248</v>
      </c>
      <c r="AS86" s="204" t="s">
        <v>1281</v>
      </c>
      <c r="AT86" s="204" t="s">
        <v>1248</v>
      </c>
      <c r="AU86" s="204" t="s">
        <v>1248</v>
      </c>
      <c r="AV86" s="204" t="s">
        <v>751</v>
      </c>
      <c r="AW86" s="204" t="s">
        <v>1248</v>
      </c>
      <c r="AX86" s="204" t="s">
        <v>1253</v>
      </c>
      <c r="AY86" s="204" t="s">
        <v>1248</v>
      </c>
      <c r="AZ86" s="204" t="s">
        <v>1248</v>
      </c>
      <c r="BA86" s="204" t="s">
        <v>1248</v>
      </c>
      <c r="BB86" s="204" t="s">
        <v>751</v>
      </c>
      <c r="BC86" s="353">
        <v>3800</v>
      </c>
      <c r="BD86" s="353">
        <v>1473</v>
      </c>
      <c r="BE86" s="204" t="s">
        <v>723</v>
      </c>
      <c r="BF86" s="353">
        <v>0</v>
      </c>
      <c r="BG86" s="204" t="s">
        <v>1248</v>
      </c>
      <c r="BH86" s="204" t="s">
        <v>1248</v>
      </c>
      <c r="BI86" s="204" t="s">
        <v>723</v>
      </c>
      <c r="BK86" s="353">
        <v>0</v>
      </c>
      <c r="BL86" s="353">
        <v>0</v>
      </c>
      <c r="BM86" s="353">
        <v>0</v>
      </c>
      <c r="BN86" s="353">
        <v>0</v>
      </c>
      <c r="BO86" s="353">
        <v>0</v>
      </c>
      <c r="BP86" s="353">
        <v>0</v>
      </c>
      <c r="BQ86" s="353">
        <v>0</v>
      </c>
      <c r="BT86" s="353">
        <v>0</v>
      </c>
      <c r="BU86" s="353">
        <v>0</v>
      </c>
      <c r="CA86" s="353">
        <v>0</v>
      </c>
      <c r="CB86" s="353">
        <v>270.08224570599998</v>
      </c>
      <c r="CC86" s="204" t="s">
        <v>425</v>
      </c>
      <c r="CD86" s="204" t="s">
        <v>300</v>
      </c>
      <c r="CE86" s="204" t="s">
        <v>301</v>
      </c>
      <c r="CF86" s="204" t="s">
        <v>1432</v>
      </c>
      <c r="CG86" s="204" t="s">
        <v>1256</v>
      </c>
      <c r="CH86" s="204" t="s">
        <v>1298</v>
      </c>
      <c r="CI86" s="204" t="s">
        <v>351</v>
      </c>
      <c r="CJ86" s="204" t="s">
        <v>678</v>
      </c>
      <c r="CK86" s="353">
        <v>-9999</v>
      </c>
      <c r="CM86" s="353">
        <v>-9999</v>
      </c>
      <c r="CO86" s="353">
        <v>-9999</v>
      </c>
      <c r="CS86" s="353">
        <v>-9999</v>
      </c>
      <c r="CT86" s="353">
        <v>-9999</v>
      </c>
      <c r="CV86" s="204" t="s">
        <v>1265</v>
      </c>
      <c r="CW86" s="353">
        <v>7.7347575567799994E-5</v>
      </c>
      <c r="CX86" s="204">
        <v>963</v>
      </c>
      <c r="CY86" s="204">
        <v>3922</v>
      </c>
      <c r="CZ86" s="204">
        <v>8712</v>
      </c>
      <c r="DA86" s="204">
        <v>6</v>
      </c>
      <c r="DB86" s="353">
        <v>6.7320000002299998E-2</v>
      </c>
      <c r="DC86" s="353">
        <v>1.76276250001E-5</v>
      </c>
      <c r="DD86" s="204">
        <v>10</v>
      </c>
      <c r="DE86" s="353">
        <v>0</v>
      </c>
      <c r="DF86" s="353">
        <v>0</v>
      </c>
      <c r="DG86" s="353">
        <v>5.8646597371000003E-2</v>
      </c>
      <c r="DH86" s="353">
        <v>3612.85086224</v>
      </c>
    </row>
    <row r="87" spans="1:112">
      <c r="A87" s="204">
        <v>964</v>
      </c>
      <c r="B87" s="204">
        <v>1</v>
      </c>
      <c r="C87" s="204">
        <v>15978</v>
      </c>
      <c r="D87" s="204">
        <v>0</v>
      </c>
      <c r="E87" s="204">
        <v>964</v>
      </c>
      <c r="F87" s="204">
        <v>2</v>
      </c>
      <c r="G87" s="204">
        <v>964</v>
      </c>
      <c r="H87" s="204" t="s">
        <v>914</v>
      </c>
      <c r="I87" s="354">
        <v>37462</v>
      </c>
      <c r="J87" s="204" t="s">
        <v>914</v>
      </c>
      <c r="K87" s="204" t="s">
        <v>1430</v>
      </c>
      <c r="L87" s="204" t="s">
        <v>1294</v>
      </c>
      <c r="M87" s="204" t="s">
        <v>915</v>
      </c>
      <c r="N87" s="353">
        <v>100</v>
      </c>
      <c r="P87" s="204" t="s">
        <v>916</v>
      </c>
      <c r="R87" s="204" t="s">
        <v>1248</v>
      </c>
      <c r="S87" s="353">
        <v>0</v>
      </c>
      <c r="T87" s="204" t="s">
        <v>708</v>
      </c>
      <c r="U87" s="204" t="s">
        <v>307</v>
      </c>
      <c r="W87" s="204" t="s">
        <v>917</v>
      </c>
      <c r="Z87" s="204" t="s">
        <v>369</v>
      </c>
      <c r="AA87" s="204" t="s">
        <v>704</v>
      </c>
      <c r="AB87" s="204" t="s">
        <v>1433</v>
      </c>
      <c r="AC87" s="204" t="s">
        <v>1250</v>
      </c>
      <c r="AD87" s="204" t="s">
        <v>1251</v>
      </c>
      <c r="AE87" s="353">
        <v>52256</v>
      </c>
      <c r="AF87" s="353">
        <v>78384</v>
      </c>
      <c r="AG87" s="353">
        <v>0</v>
      </c>
      <c r="AH87" s="204" t="s">
        <v>298</v>
      </c>
      <c r="AI87" s="353">
        <v>1</v>
      </c>
      <c r="AJ87" s="353">
        <v>1</v>
      </c>
      <c r="AK87" s="353">
        <v>0</v>
      </c>
      <c r="AL87" s="353">
        <v>0</v>
      </c>
      <c r="AM87" s="353">
        <v>0</v>
      </c>
      <c r="AQ87" s="353">
        <v>0</v>
      </c>
      <c r="BC87" s="353">
        <v>0</v>
      </c>
      <c r="BD87" s="353">
        <v>0</v>
      </c>
      <c r="BF87" s="353">
        <v>0</v>
      </c>
      <c r="BG87" s="204" t="s">
        <v>1248</v>
      </c>
      <c r="BH87" s="204" t="s">
        <v>1248</v>
      </c>
      <c r="BJ87" s="204" t="s">
        <v>1301</v>
      </c>
      <c r="BK87" s="353">
        <v>2600</v>
      </c>
      <c r="BL87" s="353">
        <v>2</v>
      </c>
      <c r="BM87" s="353">
        <v>4</v>
      </c>
      <c r="BN87" s="353">
        <v>8</v>
      </c>
      <c r="BO87" s="353">
        <v>4</v>
      </c>
      <c r="BP87" s="353">
        <v>16</v>
      </c>
      <c r="BQ87" s="353">
        <v>650</v>
      </c>
      <c r="BR87" s="204" t="s">
        <v>1248</v>
      </c>
      <c r="BS87" s="204" t="s">
        <v>1248</v>
      </c>
      <c r="BT87" s="353">
        <v>0</v>
      </c>
      <c r="BU87" s="353">
        <v>2500</v>
      </c>
      <c r="BV87" s="204" t="s">
        <v>1248</v>
      </c>
      <c r="BW87" s="204" t="s">
        <v>1253</v>
      </c>
      <c r="BX87" s="204" t="s">
        <v>1248</v>
      </c>
      <c r="BY87" s="204" t="s">
        <v>1248</v>
      </c>
      <c r="BZ87" s="204" t="s">
        <v>1434</v>
      </c>
      <c r="CA87" s="353">
        <v>2600</v>
      </c>
      <c r="CB87" s="353">
        <v>244.90602732900001</v>
      </c>
      <c r="CC87" s="204" t="s">
        <v>517</v>
      </c>
      <c r="CD87" s="204" t="s">
        <v>300</v>
      </c>
      <c r="CE87" s="204" t="s">
        <v>301</v>
      </c>
      <c r="CF87" s="204" t="s">
        <v>1432</v>
      </c>
      <c r="CG87" s="204" t="s">
        <v>1256</v>
      </c>
      <c r="CH87" s="204" t="s">
        <v>1298</v>
      </c>
      <c r="CI87" s="204" t="s">
        <v>351</v>
      </c>
      <c r="CJ87" s="204" t="s">
        <v>678</v>
      </c>
      <c r="CK87" s="353">
        <v>-9999</v>
      </c>
      <c r="CM87" s="353">
        <v>-9999</v>
      </c>
      <c r="CO87" s="353">
        <v>-9999</v>
      </c>
      <c r="CS87" s="353">
        <v>-9999</v>
      </c>
      <c r="CT87" s="353">
        <v>-9999</v>
      </c>
      <c r="CV87" s="204" t="s">
        <v>1265</v>
      </c>
      <c r="CW87" s="353">
        <v>7.7347575567799994E-5</v>
      </c>
      <c r="CX87" s="204">
        <v>964</v>
      </c>
      <c r="CY87" s="204">
        <v>3922</v>
      </c>
      <c r="CZ87" s="204">
        <v>8712</v>
      </c>
      <c r="DA87" s="204">
        <v>6</v>
      </c>
      <c r="DB87" s="353">
        <v>6.7320000002299998E-2</v>
      </c>
      <c r="DC87" s="353">
        <v>1.76276250001E-5</v>
      </c>
      <c r="DD87" s="204">
        <v>10</v>
      </c>
      <c r="DE87" s="353">
        <v>0</v>
      </c>
      <c r="DF87" s="353">
        <v>0</v>
      </c>
      <c r="DG87" s="353">
        <v>5.8646597371000003E-2</v>
      </c>
      <c r="DH87" s="353">
        <v>2441.8463544299998</v>
      </c>
    </row>
    <row r="88" spans="1:112">
      <c r="A88" s="204">
        <v>978</v>
      </c>
      <c r="B88" s="204">
        <v>1</v>
      </c>
      <c r="C88" s="204">
        <v>16080</v>
      </c>
      <c r="D88" s="204">
        <v>0</v>
      </c>
      <c r="E88" s="204">
        <v>978</v>
      </c>
      <c r="F88" s="204">
        <v>4</v>
      </c>
      <c r="G88" s="204">
        <v>978</v>
      </c>
      <c r="H88" s="204" t="s">
        <v>752</v>
      </c>
      <c r="I88" s="354">
        <v>37462</v>
      </c>
      <c r="J88" s="204" t="s">
        <v>752</v>
      </c>
      <c r="K88" s="204" t="s">
        <v>1430</v>
      </c>
      <c r="L88" s="204" t="s">
        <v>1247</v>
      </c>
      <c r="M88" s="204" t="s">
        <v>753</v>
      </c>
      <c r="N88" s="353">
        <v>100</v>
      </c>
      <c r="O88" s="204" t="s">
        <v>1435</v>
      </c>
      <c r="P88" s="204" t="s">
        <v>754</v>
      </c>
      <c r="R88" s="204" t="s">
        <v>1248</v>
      </c>
      <c r="S88" s="353">
        <v>0</v>
      </c>
      <c r="T88" s="204" t="s">
        <v>702</v>
      </c>
      <c r="U88" s="204" t="s">
        <v>294</v>
      </c>
      <c r="W88" s="204" t="s">
        <v>755</v>
      </c>
      <c r="Z88" s="204" t="s">
        <v>369</v>
      </c>
      <c r="AA88" s="204" t="s">
        <v>704</v>
      </c>
      <c r="AB88" s="204" t="s">
        <v>1436</v>
      </c>
      <c r="AC88" s="204" t="s">
        <v>1278</v>
      </c>
      <c r="AD88" s="204" t="s">
        <v>384</v>
      </c>
      <c r="AE88" s="353">
        <v>145500</v>
      </c>
      <c r="AF88" s="353">
        <v>74500</v>
      </c>
      <c r="AG88" s="353">
        <v>0</v>
      </c>
      <c r="AH88" s="204" t="s">
        <v>423</v>
      </c>
      <c r="AI88" s="353">
        <v>1</v>
      </c>
      <c r="AJ88" s="353">
        <v>1</v>
      </c>
      <c r="AK88" s="353">
        <v>4</v>
      </c>
      <c r="AL88" s="353">
        <v>2</v>
      </c>
      <c r="AM88" s="353">
        <v>8</v>
      </c>
      <c r="AN88" s="204" t="s">
        <v>186</v>
      </c>
      <c r="AO88" s="204" t="s">
        <v>1248</v>
      </c>
      <c r="AP88" s="204" t="s">
        <v>1248</v>
      </c>
      <c r="AQ88" s="353">
        <v>0</v>
      </c>
      <c r="AR88" s="204" t="s">
        <v>1248</v>
      </c>
      <c r="AS88" s="204" t="s">
        <v>1248</v>
      </c>
      <c r="AT88" s="204" t="s">
        <v>1248</v>
      </c>
      <c r="AU88" s="204" t="s">
        <v>1248</v>
      </c>
      <c r="AV88" s="204" t="s">
        <v>756</v>
      </c>
      <c r="AW88" s="204" t="s">
        <v>1248</v>
      </c>
      <c r="AX88" s="204" t="s">
        <v>1253</v>
      </c>
      <c r="AY88" s="204" t="s">
        <v>1248</v>
      </c>
      <c r="AZ88" s="204" t="s">
        <v>1248</v>
      </c>
      <c r="BA88" s="204" t="s">
        <v>1248</v>
      </c>
      <c r="BB88" s="204" t="s">
        <v>1416</v>
      </c>
      <c r="BC88" s="353">
        <v>5000</v>
      </c>
      <c r="BD88" s="353">
        <v>1450</v>
      </c>
      <c r="BE88" s="204" t="s">
        <v>723</v>
      </c>
      <c r="BF88" s="353">
        <v>0</v>
      </c>
      <c r="BG88" s="204" t="s">
        <v>1248</v>
      </c>
      <c r="BH88" s="204" t="s">
        <v>1248</v>
      </c>
      <c r="BI88" s="204" t="s">
        <v>723</v>
      </c>
      <c r="BK88" s="353">
        <v>0</v>
      </c>
      <c r="BL88" s="353">
        <v>0</v>
      </c>
      <c r="BM88" s="353">
        <v>0</v>
      </c>
      <c r="BN88" s="353">
        <v>0</v>
      </c>
      <c r="BO88" s="353">
        <v>0</v>
      </c>
      <c r="BP88" s="353">
        <v>0</v>
      </c>
      <c r="BQ88" s="353">
        <v>0</v>
      </c>
      <c r="BT88" s="353">
        <v>0</v>
      </c>
      <c r="BU88" s="353">
        <v>0</v>
      </c>
      <c r="CA88" s="353">
        <v>0</v>
      </c>
      <c r="CB88" s="353">
        <v>300.05174373699998</v>
      </c>
      <c r="CC88" s="204" t="s">
        <v>425</v>
      </c>
      <c r="CD88" s="204" t="s">
        <v>300</v>
      </c>
      <c r="CE88" s="204" t="s">
        <v>301</v>
      </c>
      <c r="CF88" s="204" t="s">
        <v>1432</v>
      </c>
      <c r="CG88" s="204" t="s">
        <v>1256</v>
      </c>
      <c r="CH88" s="204" t="s">
        <v>1298</v>
      </c>
      <c r="CI88" s="204" t="s">
        <v>351</v>
      </c>
      <c r="CJ88" s="204" t="s">
        <v>678</v>
      </c>
      <c r="CK88" s="353">
        <v>-9999</v>
      </c>
      <c r="CM88" s="353">
        <v>-9999</v>
      </c>
      <c r="CO88" s="353">
        <v>-9999</v>
      </c>
      <c r="CS88" s="353">
        <v>-9999</v>
      </c>
      <c r="CT88" s="353">
        <v>-9999</v>
      </c>
      <c r="CV88" s="204" t="s">
        <v>1265</v>
      </c>
      <c r="CW88" s="353">
        <v>7.7347575567799994E-5</v>
      </c>
      <c r="CX88" s="204">
        <v>978</v>
      </c>
      <c r="CY88" s="204">
        <v>3922</v>
      </c>
      <c r="CZ88" s="204">
        <v>8712</v>
      </c>
      <c r="DA88" s="204">
        <v>6</v>
      </c>
      <c r="DB88" s="353">
        <v>6.7320000002299998E-2</v>
      </c>
      <c r="DC88" s="353">
        <v>1.76276250001E-5</v>
      </c>
      <c r="DD88" s="204">
        <v>10</v>
      </c>
      <c r="DE88" s="353">
        <v>0</v>
      </c>
      <c r="DF88" s="353">
        <v>0</v>
      </c>
      <c r="DG88" s="353">
        <v>5.8646597371000003E-2</v>
      </c>
      <c r="DH88" s="353">
        <v>5019.2165752299998</v>
      </c>
    </row>
    <row r="89" spans="1:112">
      <c r="A89" s="204">
        <v>979</v>
      </c>
      <c r="B89" s="204">
        <v>1</v>
      </c>
      <c r="C89" s="204">
        <v>16082</v>
      </c>
      <c r="D89" s="204">
        <v>0</v>
      </c>
      <c r="E89" s="204">
        <v>979</v>
      </c>
      <c r="F89" s="204">
        <v>4</v>
      </c>
      <c r="G89" s="204">
        <v>979</v>
      </c>
      <c r="H89" s="204" t="s">
        <v>757</v>
      </c>
      <c r="I89" s="354">
        <v>37462</v>
      </c>
      <c r="J89" s="204" t="s">
        <v>757</v>
      </c>
      <c r="K89" s="204" t="s">
        <v>1430</v>
      </c>
      <c r="L89" s="204" t="s">
        <v>1294</v>
      </c>
      <c r="M89" s="204" t="s">
        <v>758</v>
      </c>
      <c r="N89" s="353">
        <v>100</v>
      </c>
      <c r="P89" s="204" t="s">
        <v>759</v>
      </c>
      <c r="R89" s="204" t="s">
        <v>1248</v>
      </c>
      <c r="S89" s="353">
        <v>0</v>
      </c>
      <c r="T89" s="204" t="s">
        <v>760</v>
      </c>
      <c r="U89" s="204" t="s">
        <v>307</v>
      </c>
      <c r="W89" s="204" t="s">
        <v>761</v>
      </c>
      <c r="Z89" s="204" t="s">
        <v>369</v>
      </c>
      <c r="AA89" s="204" t="s">
        <v>704</v>
      </c>
      <c r="AB89" s="204" t="s">
        <v>1437</v>
      </c>
      <c r="AC89" s="204" t="s">
        <v>1278</v>
      </c>
      <c r="AD89" s="204" t="s">
        <v>384</v>
      </c>
      <c r="AE89" s="353">
        <v>107149</v>
      </c>
      <c r="AF89" s="353">
        <v>63216</v>
      </c>
      <c r="AG89" s="353">
        <v>0</v>
      </c>
      <c r="AH89" s="204" t="s">
        <v>423</v>
      </c>
      <c r="AI89" s="353">
        <v>1</v>
      </c>
      <c r="AJ89" s="353">
        <v>1</v>
      </c>
      <c r="AK89" s="353">
        <v>4</v>
      </c>
      <c r="AL89" s="353">
        <v>2</v>
      </c>
      <c r="AM89" s="353">
        <v>8</v>
      </c>
      <c r="AN89" s="204" t="s">
        <v>1281</v>
      </c>
      <c r="AO89" s="204" t="s">
        <v>1248</v>
      </c>
      <c r="AP89" s="204" t="s">
        <v>1248</v>
      </c>
      <c r="AQ89" s="353">
        <v>0</v>
      </c>
      <c r="AR89" s="204" t="s">
        <v>1248</v>
      </c>
      <c r="AS89" s="204" t="s">
        <v>995</v>
      </c>
      <c r="AT89" s="204" t="s">
        <v>1248</v>
      </c>
      <c r="AU89" s="204" t="s">
        <v>1248</v>
      </c>
      <c r="AV89" s="204" t="s">
        <v>756</v>
      </c>
      <c r="AW89" s="204" t="s">
        <v>1248</v>
      </c>
      <c r="AX89" s="204" t="s">
        <v>1253</v>
      </c>
      <c r="AY89" s="204" t="s">
        <v>1248</v>
      </c>
      <c r="AZ89" s="204" t="s">
        <v>1248</v>
      </c>
      <c r="BA89" s="204" t="s">
        <v>1248</v>
      </c>
      <c r="BB89" s="204" t="s">
        <v>756</v>
      </c>
      <c r="BC89" s="353">
        <v>5000</v>
      </c>
      <c r="BD89" s="353">
        <v>1450</v>
      </c>
      <c r="BE89" s="204" t="s">
        <v>723</v>
      </c>
      <c r="BF89" s="353">
        <v>0</v>
      </c>
      <c r="BG89" s="204" t="s">
        <v>1248</v>
      </c>
      <c r="BH89" s="204" t="s">
        <v>1248</v>
      </c>
      <c r="BI89" s="204" t="s">
        <v>723</v>
      </c>
      <c r="BK89" s="353">
        <v>0</v>
      </c>
      <c r="BL89" s="353">
        <v>0</v>
      </c>
      <c r="BM89" s="353">
        <v>0</v>
      </c>
      <c r="BN89" s="353">
        <v>0</v>
      </c>
      <c r="BO89" s="353">
        <v>0</v>
      </c>
      <c r="BP89" s="353">
        <v>0</v>
      </c>
      <c r="BQ89" s="353">
        <v>0</v>
      </c>
      <c r="BT89" s="353">
        <v>0</v>
      </c>
      <c r="BU89" s="353">
        <v>0</v>
      </c>
      <c r="CA89" s="353">
        <v>0</v>
      </c>
      <c r="CB89" s="353">
        <v>297.61724568900001</v>
      </c>
      <c r="CC89" s="204" t="s">
        <v>425</v>
      </c>
      <c r="CD89" s="204" t="s">
        <v>300</v>
      </c>
      <c r="CE89" s="204" t="s">
        <v>301</v>
      </c>
      <c r="CF89" s="204" t="s">
        <v>1432</v>
      </c>
      <c r="CG89" s="204" t="s">
        <v>1256</v>
      </c>
      <c r="CH89" s="204" t="s">
        <v>1298</v>
      </c>
      <c r="CI89" s="204" t="s">
        <v>351</v>
      </c>
      <c r="CJ89" s="204" t="s">
        <v>678</v>
      </c>
      <c r="CK89" s="353">
        <v>-9999</v>
      </c>
      <c r="CM89" s="353">
        <v>-9999</v>
      </c>
      <c r="CO89" s="353">
        <v>-9999</v>
      </c>
      <c r="CS89" s="353">
        <v>-9999</v>
      </c>
      <c r="CT89" s="353">
        <v>-9999</v>
      </c>
      <c r="CV89" s="204" t="s">
        <v>1265</v>
      </c>
      <c r="CW89" s="353">
        <v>7.7347575567799994E-5</v>
      </c>
      <c r="CX89" s="204">
        <v>979</v>
      </c>
      <c r="CY89" s="204">
        <v>3922</v>
      </c>
      <c r="CZ89" s="204">
        <v>8712</v>
      </c>
      <c r="DA89" s="204">
        <v>6</v>
      </c>
      <c r="DB89" s="353">
        <v>6.7320000002299998E-2</v>
      </c>
      <c r="DC89" s="353">
        <v>1.76276250001E-5</v>
      </c>
      <c r="DD89" s="204">
        <v>10</v>
      </c>
      <c r="DE89" s="353">
        <v>0</v>
      </c>
      <c r="DF89" s="353">
        <v>0</v>
      </c>
      <c r="DG89" s="353">
        <v>5.8646597371000003E-2</v>
      </c>
      <c r="DH89" s="353">
        <v>4867.4578095300003</v>
      </c>
    </row>
    <row r="90" spans="1:112">
      <c r="A90" s="204">
        <v>980</v>
      </c>
      <c r="B90" s="204">
        <v>1</v>
      </c>
      <c r="C90" s="204">
        <v>16095</v>
      </c>
      <c r="D90" s="204">
        <v>0</v>
      </c>
      <c r="E90" s="204">
        <v>980</v>
      </c>
      <c r="F90" s="204">
        <v>4</v>
      </c>
      <c r="G90" s="204">
        <v>980</v>
      </c>
      <c r="H90" s="204" t="s">
        <v>960</v>
      </c>
      <c r="I90" s="354">
        <v>37594</v>
      </c>
      <c r="J90" s="204" t="s">
        <v>960</v>
      </c>
      <c r="K90" s="204" t="s">
        <v>1430</v>
      </c>
      <c r="L90" s="204" t="s">
        <v>1247</v>
      </c>
      <c r="M90" s="204" t="s">
        <v>961</v>
      </c>
      <c r="N90" s="353">
        <v>100</v>
      </c>
      <c r="P90" s="204" t="s">
        <v>962</v>
      </c>
      <c r="R90" s="204" t="s">
        <v>1248</v>
      </c>
      <c r="S90" s="353">
        <v>4.3999999999999997E-2</v>
      </c>
      <c r="T90" s="204" t="s">
        <v>963</v>
      </c>
      <c r="U90" s="204" t="s">
        <v>294</v>
      </c>
      <c r="Z90" s="204" t="s">
        <v>408</v>
      </c>
      <c r="AA90" s="204" t="s">
        <v>409</v>
      </c>
      <c r="AC90" s="204" t="s">
        <v>1274</v>
      </c>
      <c r="AD90" s="204" t="s">
        <v>1251</v>
      </c>
      <c r="AE90" s="353">
        <v>5796</v>
      </c>
      <c r="AF90" s="353">
        <v>0</v>
      </c>
      <c r="AG90" s="353">
        <v>0</v>
      </c>
      <c r="AH90" s="204" t="s">
        <v>298</v>
      </c>
      <c r="AI90" s="353">
        <v>1</v>
      </c>
      <c r="AJ90" s="353">
        <v>1</v>
      </c>
      <c r="AK90" s="353">
        <v>0</v>
      </c>
      <c r="AL90" s="353">
        <v>0</v>
      </c>
      <c r="AM90" s="353">
        <v>0</v>
      </c>
      <c r="AQ90" s="353">
        <v>0</v>
      </c>
      <c r="BC90" s="353">
        <v>0</v>
      </c>
      <c r="BD90" s="353">
        <v>0</v>
      </c>
      <c r="BF90" s="353">
        <v>0</v>
      </c>
      <c r="BG90" s="204" t="s">
        <v>1248</v>
      </c>
      <c r="BH90" s="204" t="s">
        <v>1248</v>
      </c>
      <c r="BJ90" s="204" t="s">
        <v>233</v>
      </c>
      <c r="BK90" s="353">
        <v>0</v>
      </c>
      <c r="BL90" s="353">
        <v>0</v>
      </c>
      <c r="BM90" s="353">
        <v>0</v>
      </c>
      <c r="BN90" s="353">
        <v>0</v>
      </c>
      <c r="BO90" s="353">
        <v>0</v>
      </c>
      <c r="BP90" s="353">
        <v>0</v>
      </c>
      <c r="BQ90" s="353">
        <v>0</v>
      </c>
      <c r="BT90" s="353">
        <v>0</v>
      </c>
      <c r="BU90" s="353">
        <v>1876</v>
      </c>
      <c r="BV90" s="204" t="s">
        <v>1296</v>
      </c>
      <c r="BW90" s="204" t="s">
        <v>1253</v>
      </c>
      <c r="BX90" s="204" t="s">
        <v>1248</v>
      </c>
      <c r="BY90" s="204" t="s">
        <v>1248</v>
      </c>
      <c r="CA90" s="353">
        <v>0</v>
      </c>
      <c r="CB90" s="353">
        <v>211.920114275</v>
      </c>
      <c r="CC90" s="204" t="s">
        <v>88</v>
      </c>
      <c r="CD90" s="204" t="s">
        <v>300</v>
      </c>
      <c r="CE90" s="204" t="s">
        <v>301</v>
      </c>
      <c r="CF90" s="204" t="s">
        <v>1432</v>
      </c>
      <c r="CG90" s="204" t="s">
        <v>1256</v>
      </c>
      <c r="CH90" s="204" t="s">
        <v>1298</v>
      </c>
      <c r="CI90" s="204" t="s">
        <v>351</v>
      </c>
      <c r="CJ90" s="204" t="s">
        <v>678</v>
      </c>
      <c r="CK90" s="353">
        <v>-9999</v>
      </c>
      <c r="CM90" s="353">
        <v>-9999</v>
      </c>
      <c r="CO90" s="353">
        <v>-9999</v>
      </c>
      <c r="CS90" s="353">
        <v>-9999</v>
      </c>
      <c r="CT90" s="353">
        <v>-9999</v>
      </c>
      <c r="CV90" s="204" t="s">
        <v>1265</v>
      </c>
      <c r="CW90" s="353">
        <v>7.7347575567799994E-5</v>
      </c>
      <c r="CX90" s="204">
        <v>980</v>
      </c>
      <c r="CY90" s="204">
        <v>3922</v>
      </c>
      <c r="CZ90" s="204">
        <v>8712</v>
      </c>
      <c r="DA90" s="204">
        <v>6</v>
      </c>
      <c r="DB90" s="353">
        <v>6.7320000002299998E-2</v>
      </c>
      <c r="DC90" s="353">
        <v>1.76276250001E-5</v>
      </c>
      <c r="DD90" s="204">
        <v>10</v>
      </c>
      <c r="DE90" s="353">
        <v>0</v>
      </c>
      <c r="DF90" s="353">
        <v>0</v>
      </c>
      <c r="DG90" s="353">
        <v>5.8646597371000003E-2</v>
      </c>
      <c r="DH90" s="353">
        <v>1777.3952708100001</v>
      </c>
    </row>
    <row r="91" spans="1:112">
      <c r="A91" s="204">
        <v>981</v>
      </c>
      <c r="B91" s="204">
        <v>1</v>
      </c>
      <c r="C91" s="204">
        <v>16136</v>
      </c>
      <c r="D91" s="204">
        <v>0</v>
      </c>
      <c r="E91" s="204">
        <v>981</v>
      </c>
      <c r="F91" s="204">
        <v>3</v>
      </c>
      <c r="G91" s="204">
        <v>981</v>
      </c>
      <c r="H91" s="204" t="s">
        <v>762</v>
      </c>
      <c r="I91" s="354">
        <v>37462</v>
      </c>
      <c r="J91" s="204" t="s">
        <v>762</v>
      </c>
      <c r="K91" s="204" t="s">
        <v>1430</v>
      </c>
      <c r="L91" s="204" t="s">
        <v>1288</v>
      </c>
      <c r="M91" s="204" t="s">
        <v>763</v>
      </c>
      <c r="N91" s="353">
        <v>100</v>
      </c>
      <c r="P91" s="204" t="s">
        <v>764</v>
      </c>
      <c r="R91" s="204" t="s">
        <v>1248</v>
      </c>
      <c r="S91" s="353">
        <v>0</v>
      </c>
      <c r="T91" s="204" t="s">
        <v>702</v>
      </c>
      <c r="U91" s="204" t="s">
        <v>294</v>
      </c>
      <c r="W91" s="204" t="s">
        <v>765</v>
      </c>
      <c r="Z91" s="204" t="s">
        <v>369</v>
      </c>
      <c r="AA91" s="204" t="s">
        <v>704</v>
      </c>
      <c r="AB91" s="204" t="s">
        <v>1438</v>
      </c>
      <c r="AC91" s="204" t="s">
        <v>1278</v>
      </c>
      <c r="AD91" s="204" t="s">
        <v>384</v>
      </c>
      <c r="AE91" s="353">
        <v>31513</v>
      </c>
      <c r="AF91" s="353">
        <v>115553</v>
      </c>
      <c r="AG91" s="353">
        <v>0</v>
      </c>
      <c r="AH91" s="204" t="s">
        <v>423</v>
      </c>
      <c r="AI91" s="353">
        <v>1</v>
      </c>
      <c r="AJ91" s="353">
        <v>1</v>
      </c>
      <c r="AK91" s="353">
        <v>4</v>
      </c>
      <c r="AL91" s="353">
        <v>2</v>
      </c>
      <c r="AM91" s="353">
        <v>8</v>
      </c>
      <c r="AN91" s="204" t="s">
        <v>186</v>
      </c>
      <c r="AO91" s="204" t="s">
        <v>1248</v>
      </c>
      <c r="AP91" s="204" t="s">
        <v>1248</v>
      </c>
      <c r="AQ91" s="353">
        <v>0</v>
      </c>
      <c r="AR91" s="204" t="s">
        <v>1248</v>
      </c>
      <c r="AS91" s="204" t="s">
        <v>1248</v>
      </c>
      <c r="AT91" s="204" t="s">
        <v>1248</v>
      </c>
      <c r="AU91" s="204" t="s">
        <v>1248</v>
      </c>
      <c r="AV91" s="204" t="s">
        <v>766</v>
      </c>
      <c r="AW91" s="204" t="s">
        <v>1248</v>
      </c>
      <c r="AX91" s="204" t="s">
        <v>1253</v>
      </c>
      <c r="AY91" s="204" t="s">
        <v>1248</v>
      </c>
      <c r="AZ91" s="204" t="s">
        <v>1248</v>
      </c>
      <c r="BA91" s="204" t="s">
        <v>1248</v>
      </c>
      <c r="BB91" s="204" t="s">
        <v>766</v>
      </c>
      <c r="BC91" s="353">
        <v>5000</v>
      </c>
      <c r="BD91" s="353">
        <v>1768</v>
      </c>
      <c r="BE91" s="204" t="s">
        <v>723</v>
      </c>
      <c r="BF91" s="353">
        <v>0</v>
      </c>
      <c r="BG91" s="204" t="s">
        <v>1248</v>
      </c>
      <c r="BH91" s="204" t="s">
        <v>1248</v>
      </c>
      <c r="BI91" s="204" t="s">
        <v>723</v>
      </c>
      <c r="BK91" s="353">
        <v>0</v>
      </c>
      <c r="BL91" s="353">
        <v>0</v>
      </c>
      <c r="BM91" s="353">
        <v>0</v>
      </c>
      <c r="BN91" s="353">
        <v>0</v>
      </c>
      <c r="BO91" s="353">
        <v>0</v>
      </c>
      <c r="BP91" s="353">
        <v>0</v>
      </c>
      <c r="BQ91" s="353">
        <v>0</v>
      </c>
      <c r="BT91" s="353">
        <v>0</v>
      </c>
      <c r="BU91" s="353">
        <v>0</v>
      </c>
      <c r="CA91" s="353">
        <v>0</v>
      </c>
      <c r="CB91" s="353">
        <v>300.24844072000002</v>
      </c>
      <c r="CC91" s="204" t="s">
        <v>425</v>
      </c>
      <c r="CD91" s="204" t="s">
        <v>300</v>
      </c>
      <c r="CE91" s="204" t="s">
        <v>301</v>
      </c>
      <c r="CF91" s="204" t="s">
        <v>1432</v>
      </c>
      <c r="CG91" s="204" t="s">
        <v>1256</v>
      </c>
      <c r="CH91" s="204" t="s">
        <v>1298</v>
      </c>
      <c r="CI91" s="204" t="s">
        <v>351</v>
      </c>
      <c r="CJ91" s="204" t="s">
        <v>678</v>
      </c>
      <c r="CK91" s="353">
        <v>-9999</v>
      </c>
      <c r="CM91" s="353">
        <v>-9999</v>
      </c>
      <c r="CO91" s="353">
        <v>-9999</v>
      </c>
      <c r="CS91" s="353">
        <v>-9999</v>
      </c>
      <c r="CT91" s="353">
        <v>-9999</v>
      </c>
      <c r="CV91" s="204" t="s">
        <v>1265</v>
      </c>
      <c r="CW91" s="353">
        <v>7.7347575567799994E-5</v>
      </c>
      <c r="CX91" s="204">
        <v>981</v>
      </c>
      <c r="CY91" s="204">
        <v>3922</v>
      </c>
      <c r="CZ91" s="204">
        <v>8712</v>
      </c>
      <c r="DA91" s="204">
        <v>6</v>
      </c>
      <c r="DB91" s="353">
        <v>6.7320000002299998E-2</v>
      </c>
      <c r="DC91" s="353">
        <v>1.76276250001E-5</v>
      </c>
      <c r="DD91" s="204">
        <v>10</v>
      </c>
      <c r="DE91" s="353">
        <v>0</v>
      </c>
      <c r="DF91" s="353">
        <v>0</v>
      </c>
      <c r="DG91" s="353">
        <v>5.8646597371000003E-2</v>
      </c>
      <c r="DH91" s="353">
        <v>5075.7976917799997</v>
      </c>
    </row>
    <row r="92" spans="1:112">
      <c r="A92" s="204">
        <v>982</v>
      </c>
      <c r="B92" s="204">
        <v>1</v>
      </c>
      <c r="C92" s="204">
        <v>16137</v>
      </c>
      <c r="D92" s="204">
        <v>0</v>
      </c>
      <c r="E92" s="204">
        <v>982</v>
      </c>
      <c r="F92" s="204">
        <v>3</v>
      </c>
      <c r="G92" s="204">
        <v>982</v>
      </c>
      <c r="H92" s="204" t="s">
        <v>918</v>
      </c>
      <c r="I92" s="354">
        <v>37462</v>
      </c>
      <c r="J92" s="204" t="s">
        <v>918</v>
      </c>
      <c r="K92" s="204" t="s">
        <v>1430</v>
      </c>
      <c r="L92" s="204" t="s">
        <v>1288</v>
      </c>
      <c r="M92" s="204" t="s">
        <v>919</v>
      </c>
      <c r="N92" s="353">
        <v>100</v>
      </c>
      <c r="P92" s="204" t="s">
        <v>920</v>
      </c>
      <c r="R92" s="204" t="s">
        <v>1248</v>
      </c>
      <c r="S92" s="353">
        <v>0</v>
      </c>
      <c r="T92" s="204" t="s">
        <v>702</v>
      </c>
      <c r="U92" s="204" t="s">
        <v>294</v>
      </c>
      <c r="W92" s="204" t="s">
        <v>921</v>
      </c>
      <c r="Z92" s="204" t="s">
        <v>369</v>
      </c>
      <c r="AA92" s="204" t="s">
        <v>704</v>
      </c>
      <c r="AB92" s="204" t="s">
        <v>1438</v>
      </c>
      <c r="AC92" s="204" t="s">
        <v>1250</v>
      </c>
      <c r="AD92" s="204" t="s">
        <v>1251</v>
      </c>
      <c r="AE92" s="353">
        <v>100000</v>
      </c>
      <c r="AF92" s="353">
        <v>257300</v>
      </c>
      <c r="AG92" s="353">
        <v>0</v>
      </c>
      <c r="AH92" s="204" t="s">
        <v>298</v>
      </c>
      <c r="AI92" s="353">
        <v>1</v>
      </c>
      <c r="AJ92" s="353">
        <v>1</v>
      </c>
      <c r="AK92" s="353">
        <v>0</v>
      </c>
      <c r="AL92" s="353">
        <v>0</v>
      </c>
      <c r="AM92" s="353">
        <v>0</v>
      </c>
      <c r="AQ92" s="353">
        <v>0</v>
      </c>
      <c r="BC92" s="353">
        <v>0</v>
      </c>
      <c r="BD92" s="353">
        <v>0</v>
      </c>
      <c r="BF92" s="353">
        <v>0</v>
      </c>
      <c r="BG92" s="204" t="s">
        <v>1248</v>
      </c>
      <c r="BH92" s="204" t="s">
        <v>1248</v>
      </c>
      <c r="BJ92" s="204" t="s">
        <v>1301</v>
      </c>
      <c r="BK92" s="353">
        <v>4116</v>
      </c>
      <c r="BL92" s="353">
        <v>2</v>
      </c>
      <c r="BM92" s="353">
        <v>4</v>
      </c>
      <c r="BN92" s="353">
        <v>0</v>
      </c>
      <c r="BO92" s="353">
        <v>4</v>
      </c>
      <c r="BP92" s="353">
        <v>0</v>
      </c>
      <c r="BQ92" s="353">
        <v>1029</v>
      </c>
      <c r="BR92" s="204" t="s">
        <v>1248</v>
      </c>
      <c r="BS92" s="204" t="s">
        <v>1248</v>
      </c>
      <c r="BT92" s="353">
        <v>0</v>
      </c>
      <c r="BU92" s="353">
        <v>7500</v>
      </c>
      <c r="BV92" s="204" t="s">
        <v>1248</v>
      </c>
      <c r="BW92" s="204" t="s">
        <v>1253</v>
      </c>
      <c r="BX92" s="204" t="s">
        <v>1248</v>
      </c>
      <c r="BY92" s="204" t="s">
        <v>1248</v>
      </c>
      <c r="BZ92" s="204" t="s">
        <v>751</v>
      </c>
      <c r="CA92" s="353">
        <v>4116</v>
      </c>
      <c r="CB92" s="353">
        <v>350.32194239900002</v>
      </c>
      <c r="CC92" s="204" t="s">
        <v>517</v>
      </c>
      <c r="CD92" s="204" t="s">
        <v>300</v>
      </c>
      <c r="CE92" s="204" t="s">
        <v>301</v>
      </c>
      <c r="CF92" s="204" t="s">
        <v>1432</v>
      </c>
      <c r="CG92" s="204" t="s">
        <v>1256</v>
      </c>
      <c r="CH92" s="204" t="s">
        <v>1298</v>
      </c>
      <c r="CI92" s="204" t="s">
        <v>351</v>
      </c>
      <c r="CJ92" s="204" t="s">
        <v>678</v>
      </c>
      <c r="CK92" s="353">
        <v>-9999</v>
      </c>
      <c r="CM92" s="353">
        <v>-9999</v>
      </c>
      <c r="CO92" s="353">
        <v>-9999</v>
      </c>
      <c r="CS92" s="353">
        <v>-9999</v>
      </c>
      <c r="CT92" s="353">
        <v>-9999</v>
      </c>
      <c r="CV92" s="204" t="s">
        <v>1265</v>
      </c>
      <c r="CW92" s="353">
        <v>7.7347575567799994E-5</v>
      </c>
      <c r="CX92" s="204">
        <v>982</v>
      </c>
      <c r="CY92" s="204">
        <v>3922</v>
      </c>
      <c r="CZ92" s="204">
        <v>8712</v>
      </c>
      <c r="DA92" s="204">
        <v>6</v>
      </c>
      <c r="DB92" s="353">
        <v>6.7320000002299998E-2</v>
      </c>
      <c r="DC92" s="353">
        <v>1.76276250001E-5</v>
      </c>
      <c r="DD92" s="204">
        <v>10</v>
      </c>
      <c r="DE92" s="353">
        <v>0</v>
      </c>
      <c r="DF92" s="353">
        <v>0</v>
      </c>
      <c r="DG92" s="353">
        <v>5.8646597371000003E-2</v>
      </c>
      <c r="DH92" s="353">
        <v>7381.2655273099999</v>
      </c>
    </row>
    <row r="93" spans="1:112">
      <c r="A93" s="204">
        <v>983</v>
      </c>
      <c r="B93" s="204">
        <v>1</v>
      </c>
      <c r="C93" s="204">
        <v>16139</v>
      </c>
      <c r="D93" s="204">
        <v>0</v>
      </c>
      <c r="E93" s="204">
        <v>983</v>
      </c>
      <c r="F93" s="204">
        <v>1</v>
      </c>
      <c r="G93" s="204">
        <v>983</v>
      </c>
      <c r="H93" s="204" t="s">
        <v>705</v>
      </c>
      <c r="I93" s="354">
        <v>37462</v>
      </c>
      <c r="J93" s="204" t="s">
        <v>705</v>
      </c>
      <c r="K93" s="204" t="s">
        <v>1430</v>
      </c>
      <c r="L93" s="204" t="s">
        <v>1266</v>
      </c>
      <c r="M93" s="204" t="s">
        <v>706</v>
      </c>
      <c r="N93" s="353">
        <v>100</v>
      </c>
      <c r="P93" s="204" t="s">
        <v>707</v>
      </c>
      <c r="R93" s="204" t="s">
        <v>1248</v>
      </c>
      <c r="S93" s="353">
        <v>0</v>
      </c>
      <c r="T93" s="204" t="s">
        <v>708</v>
      </c>
      <c r="U93" s="204" t="s">
        <v>307</v>
      </c>
      <c r="W93" s="204" t="s">
        <v>709</v>
      </c>
      <c r="Z93" s="204" t="s">
        <v>369</v>
      </c>
      <c r="AA93" s="204" t="s">
        <v>704</v>
      </c>
      <c r="AB93" s="204" t="s">
        <v>1439</v>
      </c>
      <c r="AC93" s="204" t="s">
        <v>1259</v>
      </c>
      <c r="AD93" s="204" t="s">
        <v>1251</v>
      </c>
      <c r="AE93" s="353">
        <v>42119</v>
      </c>
      <c r="AF93" s="353">
        <v>221127</v>
      </c>
      <c r="AG93" s="353">
        <v>0</v>
      </c>
      <c r="AH93" s="204" t="s">
        <v>298</v>
      </c>
      <c r="AI93" s="353">
        <v>1</v>
      </c>
      <c r="AJ93" s="353">
        <v>1</v>
      </c>
      <c r="AK93" s="353">
        <v>0</v>
      </c>
      <c r="AL93" s="353">
        <v>0</v>
      </c>
      <c r="AM93" s="353">
        <v>0</v>
      </c>
      <c r="AQ93" s="353">
        <v>0</v>
      </c>
      <c r="BC93" s="353">
        <v>0</v>
      </c>
      <c r="BD93" s="353">
        <v>0</v>
      </c>
      <c r="BF93" s="353">
        <v>0</v>
      </c>
      <c r="BG93" s="204" t="s">
        <v>1248</v>
      </c>
      <c r="BH93" s="204" t="s">
        <v>1248</v>
      </c>
      <c r="BJ93" s="204" t="s">
        <v>1260</v>
      </c>
      <c r="BK93" s="353">
        <v>4980</v>
      </c>
      <c r="BL93" s="353">
        <v>2</v>
      </c>
      <c r="BM93" s="353">
        <v>8</v>
      </c>
      <c r="BN93" s="353">
        <v>2</v>
      </c>
      <c r="BO93" s="353">
        <v>5</v>
      </c>
      <c r="BP93" s="353">
        <v>1</v>
      </c>
      <c r="BQ93" s="353">
        <v>622</v>
      </c>
      <c r="BT93" s="353">
        <v>0</v>
      </c>
      <c r="BU93" s="353">
        <v>5000</v>
      </c>
      <c r="BV93" s="204" t="s">
        <v>1248</v>
      </c>
      <c r="BW93" s="204" t="s">
        <v>1253</v>
      </c>
      <c r="BX93" s="204" t="s">
        <v>1248</v>
      </c>
      <c r="BY93" s="204" t="s">
        <v>1248</v>
      </c>
      <c r="BZ93" s="204" t="s">
        <v>786</v>
      </c>
      <c r="CA93" s="353">
        <v>4980</v>
      </c>
      <c r="CB93" s="353">
        <v>295.80074006299998</v>
      </c>
      <c r="CC93" s="204" t="s">
        <v>299</v>
      </c>
      <c r="CD93" s="204" t="s">
        <v>300</v>
      </c>
      <c r="CE93" s="204" t="s">
        <v>301</v>
      </c>
      <c r="CF93" s="204" t="s">
        <v>1432</v>
      </c>
      <c r="CG93" s="204" t="s">
        <v>1256</v>
      </c>
      <c r="CH93" s="204" t="s">
        <v>1298</v>
      </c>
      <c r="CI93" s="204" t="s">
        <v>351</v>
      </c>
      <c r="CJ93" s="204" t="s">
        <v>678</v>
      </c>
      <c r="CK93" s="353">
        <v>-9999</v>
      </c>
      <c r="CM93" s="353">
        <v>-9999</v>
      </c>
      <c r="CO93" s="353">
        <v>-9999</v>
      </c>
      <c r="CS93" s="353">
        <v>-9999</v>
      </c>
      <c r="CT93" s="353">
        <v>-9999</v>
      </c>
      <c r="CV93" s="204" t="s">
        <v>1265</v>
      </c>
      <c r="CW93" s="353">
        <v>7.7347575567799994E-5</v>
      </c>
      <c r="CX93" s="204">
        <v>983</v>
      </c>
      <c r="CY93" s="204">
        <v>3922</v>
      </c>
      <c r="CZ93" s="204">
        <v>8712</v>
      </c>
      <c r="DA93" s="204">
        <v>6</v>
      </c>
      <c r="DB93" s="353">
        <v>6.7320000002299998E-2</v>
      </c>
      <c r="DC93" s="353">
        <v>1.76276250001E-5</v>
      </c>
      <c r="DD93" s="204">
        <v>10</v>
      </c>
      <c r="DE93" s="353">
        <v>0</v>
      </c>
      <c r="DF93" s="353">
        <v>0</v>
      </c>
      <c r="DG93" s="353">
        <v>5.8646597371000003E-2</v>
      </c>
      <c r="DH93" s="353">
        <v>4898.2864361499996</v>
      </c>
    </row>
    <row r="94" spans="1:112">
      <c r="A94" s="204">
        <v>984</v>
      </c>
      <c r="B94" s="204">
        <v>1</v>
      </c>
      <c r="C94" s="204">
        <v>16142</v>
      </c>
      <c r="D94" s="204">
        <v>0</v>
      </c>
      <c r="E94" s="204">
        <v>984</v>
      </c>
      <c r="F94" s="204">
        <v>2</v>
      </c>
      <c r="G94" s="204">
        <v>984</v>
      </c>
      <c r="H94" s="204" t="s">
        <v>731</v>
      </c>
      <c r="I94" s="354">
        <v>37462</v>
      </c>
      <c r="J94" s="204" t="s">
        <v>731</v>
      </c>
      <c r="K94" s="204" t="s">
        <v>1430</v>
      </c>
      <c r="L94" s="204" t="s">
        <v>1288</v>
      </c>
      <c r="M94" s="204" t="s">
        <v>732</v>
      </c>
      <c r="N94" s="353">
        <v>100</v>
      </c>
      <c r="P94" s="204" t="s">
        <v>733</v>
      </c>
      <c r="R94" s="204" t="s">
        <v>1248</v>
      </c>
      <c r="S94" s="353">
        <v>0</v>
      </c>
      <c r="T94" s="204" t="s">
        <v>734</v>
      </c>
      <c r="U94" s="204" t="s">
        <v>294</v>
      </c>
      <c r="W94" s="204" t="s">
        <v>735</v>
      </c>
      <c r="Z94" s="204" t="s">
        <v>369</v>
      </c>
      <c r="AA94" s="204" t="s">
        <v>704</v>
      </c>
      <c r="AB94" s="204" t="s">
        <v>1440</v>
      </c>
      <c r="AC94" s="204" t="s">
        <v>1292</v>
      </c>
      <c r="AD94" s="204" t="s">
        <v>384</v>
      </c>
      <c r="AE94" s="353">
        <v>12782</v>
      </c>
      <c r="AF94" s="353">
        <v>31965</v>
      </c>
      <c r="AG94" s="353">
        <v>0</v>
      </c>
      <c r="AH94" s="204" t="s">
        <v>423</v>
      </c>
      <c r="AI94" s="353">
        <v>1</v>
      </c>
      <c r="AJ94" s="353">
        <v>2</v>
      </c>
      <c r="AK94" s="353">
        <v>3</v>
      </c>
      <c r="AL94" s="353">
        <v>1</v>
      </c>
      <c r="AM94" s="353">
        <v>6</v>
      </c>
      <c r="AN94" s="204" t="s">
        <v>186</v>
      </c>
      <c r="AO94" s="204" t="s">
        <v>1248</v>
      </c>
      <c r="AP94" s="204" t="s">
        <v>1248</v>
      </c>
      <c r="AQ94" s="353">
        <v>0</v>
      </c>
      <c r="AR94" s="204" t="s">
        <v>1296</v>
      </c>
      <c r="AS94" s="204" t="s">
        <v>1248</v>
      </c>
      <c r="AT94" s="204" t="s">
        <v>1248</v>
      </c>
      <c r="AU94" s="204" t="s">
        <v>1248</v>
      </c>
      <c r="AV94" s="204" t="s">
        <v>736</v>
      </c>
      <c r="AW94" s="204" t="s">
        <v>1248</v>
      </c>
      <c r="AX94" s="204" t="s">
        <v>1253</v>
      </c>
      <c r="AY94" s="204" t="s">
        <v>1248</v>
      </c>
      <c r="AZ94" s="204" t="s">
        <v>1248</v>
      </c>
      <c r="BA94" s="204" t="s">
        <v>1248</v>
      </c>
      <c r="BB94" s="204" t="s">
        <v>736</v>
      </c>
      <c r="BC94" s="353">
        <v>5000</v>
      </c>
      <c r="BD94" s="353">
        <v>965</v>
      </c>
      <c r="BE94" s="204" t="s">
        <v>723</v>
      </c>
      <c r="BF94" s="353">
        <v>0</v>
      </c>
      <c r="BG94" s="204" t="s">
        <v>1248</v>
      </c>
      <c r="BH94" s="204" t="s">
        <v>1248</v>
      </c>
      <c r="BI94" s="204" t="s">
        <v>723</v>
      </c>
      <c r="BK94" s="353">
        <v>0</v>
      </c>
      <c r="BL94" s="353">
        <v>0</v>
      </c>
      <c r="BM94" s="353">
        <v>0</v>
      </c>
      <c r="BN94" s="353">
        <v>0</v>
      </c>
      <c r="BO94" s="353">
        <v>0</v>
      </c>
      <c r="BP94" s="353">
        <v>0</v>
      </c>
      <c r="BQ94" s="353">
        <v>0</v>
      </c>
      <c r="BT94" s="353">
        <v>0</v>
      </c>
      <c r="BU94" s="353">
        <v>0</v>
      </c>
      <c r="CA94" s="353">
        <v>0</v>
      </c>
      <c r="CB94" s="353">
        <v>298.99591516800001</v>
      </c>
      <c r="CC94" s="204" t="s">
        <v>498</v>
      </c>
      <c r="CD94" s="204" t="s">
        <v>300</v>
      </c>
      <c r="CE94" s="204" t="s">
        <v>301</v>
      </c>
      <c r="CF94" s="204" t="s">
        <v>1432</v>
      </c>
      <c r="CG94" s="204" t="s">
        <v>1256</v>
      </c>
      <c r="CH94" s="204" t="s">
        <v>1298</v>
      </c>
      <c r="CI94" s="204" t="s">
        <v>351</v>
      </c>
      <c r="CJ94" s="204" t="s">
        <v>678</v>
      </c>
      <c r="CK94" s="353">
        <v>-9999</v>
      </c>
      <c r="CM94" s="353">
        <v>-9999</v>
      </c>
      <c r="CO94" s="353">
        <v>-9999</v>
      </c>
      <c r="CS94" s="353">
        <v>-9999</v>
      </c>
      <c r="CT94" s="353">
        <v>-9999</v>
      </c>
      <c r="CV94" s="204" t="s">
        <v>1265</v>
      </c>
      <c r="CW94" s="353">
        <v>7.7347575567799994E-5</v>
      </c>
      <c r="CX94" s="204">
        <v>984</v>
      </c>
      <c r="CY94" s="204">
        <v>3922</v>
      </c>
      <c r="CZ94" s="204">
        <v>8712</v>
      </c>
      <c r="DA94" s="204">
        <v>6</v>
      </c>
      <c r="DB94" s="353">
        <v>6.7320000002299998E-2</v>
      </c>
      <c r="DC94" s="353">
        <v>1.76276250001E-5</v>
      </c>
      <c r="DD94" s="204">
        <v>10</v>
      </c>
      <c r="DE94" s="353">
        <v>0</v>
      </c>
      <c r="DF94" s="353">
        <v>0</v>
      </c>
      <c r="DG94" s="353">
        <v>5.8646597371000003E-2</v>
      </c>
      <c r="DH94" s="353">
        <v>4972.6826363500004</v>
      </c>
    </row>
    <row r="95" spans="1:112">
      <c r="A95" s="204">
        <v>985</v>
      </c>
      <c r="B95" s="204">
        <v>1</v>
      </c>
      <c r="C95" s="204">
        <v>16172</v>
      </c>
      <c r="D95" s="204">
        <v>0</v>
      </c>
      <c r="E95" s="204">
        <v>985</v>
      </c>
      <c r="F95" s="204">
        <v>3</v>
      </c>
      <c r="G95" s="204">
        <v>985</v>
      </c>
      <c r="H95" s="204" t="s">
        <v>964</v>
      </c>
      <c r="I95" s="354">
        <v>37462</v>
      </c>
      <c r="J95" s="204" t="s">
        <v>964</v>
      </c>
      <c r="K95" s="204" t="s">
        <v>1430</v>
      </c>
      <c r="L95" s="204" t="s">
        <v>1288</v>
      </c>
      <c r="M95" s="204" t="s">
        <v>965</v>
      </c>
      <c r="N95" s="353">
        <v>100</v>
      </c>
      <c r="P95" s="204" t="s">
        <v>966</v>
      </c>
      <c r="Q95" s="204" t="s">
        <v>579</v>
      </c>
      <c r="R95" s="204" t="s">
        <v>1248</v>
      </c>
      <c r="S95" s="353">
        <v>0</v>
      </c>
      <c r="T95" s="204" t="s">
        <v>702</v>
      </c>
      <c r="U95" s="204" t="s">
        <v>294</v>
      </c>
      <c r="W95" s="204" t="s">
        <v>967</v>
      </c>
      <c r="Z95" s="204" t="s">
        <v>369</v>
      </c>
      <c r="AA95" s="204" t="s">
        <v>704</v>
      </c>
      <c r="AB95" s="204" t="s">
        <v>1441</v>
      </c>
      <c r="AC95" s="204" t="s">
        <v>1274</v>
      </c>
      <c r="AD95" s="204" t="s">
        <v>1251</v>
      </c>
      <c r="AE95" s="353">
        <v>5527</v>
      </c>
      <c r="AF95" s="353">
        <v>0</v>
      </c>
      <c r="AG95" s="353">
        <v>0</v>
      </c>
      <c r="AH95" s="204" t="s">
        <v>298</v>
      </c>
      <c r="AI95" s="353">
        <v>0</v>
      </c>
      <c r="AJ95" s="353">
        <v>0</v>
      </c>
      <c r="AK95" s="353">
        <v>0</v>
      </c>
      <c r="AL95" s="353">
        <v>0</v>
      </c>
      <c r="AM95" s="353">
        <v>0</v>
      </c>
      <c r="AQ95" s="353">
        <v>0</v>
      </c>
      <c r="BC95" s="353">
        <v>0</v>
      </c>
      <c r="BD95" s="353">
        <v>0</v>
      </c>
      <c r="BF95" s="353">
        <v>0</v>
      </c>
      <c r="BG95" s="204" t="s">
        <v>1248</v>
      </c>
      <c r="BH95" s="204" t="s">
        <v>1248</v>
      </c>
      <c r="BK95" s="353">
        <v>0</v>
      </c>
      <c r="BL95" s="353">
        <v>0</v>
      </c>
      <c r="BM95" s="353">
        <v>0</v>
      </c>
      <c r="BN95" s="353">
        <v>0</v>
      </c>
      <c r="BO95" s="353">
        <v>0</v>
      </c>
      <c r="BP95" s="353">
        <v>0</v>
      </c>
      <c r="BQ95" s="353">
        <v>0</v>
      </c>
      <c r="BT95" s="353">
        <v>0</v>
      </c>
      <c r="BU95" s="353">
        <v>5000</v>
      </c>
      <c r="BV95" s="204" t="s">
        <v>1248</v>
      </c>
      <c r="BW95" s="204" t="s">
        <v>1253</v>
      </c>
      <c r="BX95" s="204" t="s">
        <v>1248</v>
      </c>
      <c r="BY95" s="204" t="s">
        <v>1248</v>
      </c>
      <c r="CA95" s="353">
        <v>0</v>
      </c>
      <c r="CB95" s="353">
        <v>299.70552615999998</v>
      </c>
      <c r="CC95" s="204" t="s">
        <v>88</v>
      </c>
      <c r="CD95" s="204" t="s">
        <v>300</v>
      </c>
      <c r="CE95" s="204" t="s">
        <v>301</v>
      </c>
      <c r="CF95" s="204" t="s">
        <v>1432</v>
      </c>
      <c r="CG95" s="204" t="s">
        <v>1256</v>
      </c>
      <c r="CH95" s="204" t="s">
        <v>1298</v>
      </c>
      <c r="CI95" s="204" t="s">
        <v>351</v>
      </c>
      <c r="CJ95" s="204" t="s">
        <v>678</v>
      </c>
      <c r="CK95" s="353">
        <v>-9999</v>
      </c>
      <c r="CM95" s="353">
        <v>-9999</v>
      </c>
      <c r="CO95" s="353">
        <v>-9999</v>
      </c>
      <c r="CS95" s="353">
        <v>-9999</v>
      </c>
      <c r="CT95" s="353">
        <v>-9999</v>
      </c>
      <c r="CV95" s="204" t="s">
        <v>1265</v>
      </c>
      <c r="CW95" s="353">
        <v>7.7347575567799994E-5</v>
      </c>
      <c r="CX95" s="204">
        <v>985</v>
      </c>
      <c r="CY95" s="204">
        <v>3922</v>
      </c>
      <c r="CZ95" s="204">
        <v>8712</v>
      </c>
      <c r="DA95" s="204">
        <v>6</v>
      </c>
      <c r="DB95" s="353">
        <v>6.7320000002299998E-2</v>
      </c>
      <c r="DC95" s="353">
        <v>1.76276250001E-5</v>
      </c>
      <c r="DD95" s="204">
        <v>10</v>
      </c>
      <c r="DE95" s="353">
        <v>0</v>
      </c>
      <c r="DF95" s="353">
        <v>0</v>
      </c>
      <c r="DG95" s="353">
        <v>5.8646597371000003E-2</v>
      </c>
      <c r="DH95" s="353">
        <v>4997.7076982299996</v>
      </c>
    </row>
    <row r="96" spans="1:112">
      <c r="A96" s="204">
        <v>986</v>
      </c>
      <c r="B96" s="204">
        <v>1</v>
      </c>
      <c r="C96" s="204">
        <v>16180</v>
      </c>
      <c r="D96" s="204">
        <v>0</v>
      </c>
      <c r="E96" s="204">
        <v>986</v>
      </c>
      <c r="F96" s="204">
        <v>1</v>
      </c>
      <c r="G96" s="204">
        <v>986</v>
      </c>
      <c r="H96" s="204" t="s">
        <v>767</v>
      </c>
      <c r="I96" s="354">
        <v>37462</v>
      </c>
      <c r="J96" s="204" t="s">
        <v>767</v>
      </c>
      <c r="K96" s="204" t="s">
        <v>1442</v>
      </c>
      <c r="L96" s="204" t="s">
        <v>1294</v>
      </c>
      <c r="M96" s="204" t="s">
        <v>768</v>
      </c>
      <c r="N96" s="353">
        <v>100</v>
      </c>
      <c r="P96" s="204" t="s">
        <v>769</v>
      </c>
      <c r="R96" s="204" t="s">
        <v>1248</v>
      </c>
      <c r="S96" s="353">
        <v>0</v>
      </c>
      <c r="T96" s="204" t="s">
        <v>612</v>
      </c>
      <c r="U96" s="204" t="s">
        <v>307</v>
      </c>
      <c r="W96" s="204" t="s">
        <v>770</v>
      </c>
      <c r="Z96" s="204" t="s">
        <v>369</v>
      </c>
      <c r="AA96" s="204" t="s">
        <v>704</v>
      </c>
      <c r="AB96" s="204" t="s">
        <v>1443</v>
      </c>
      <c r="AC96" s="204" t="s">
        <v>1278</v>
      </c>
      <c r="AD96" s="204" t="s">
        <v>384</v>
      </c>
      <c r="AE96" s="353">
        <v>3825</v>
      </c>
      <c r="AF96" s="353">
        <v>30734</v>
      </c>
      <c r="AG96" s="353">
        <v>0</v>
      </c>
      <c r="AH96" s="204" t="s">
        <v>423</v>
      </c>
      <c r="AI96" s="353">
        <v>1</v>
      </c>
      <c r="AJ96" s="353">
        <v>1</v>
      </c>
      <c r="AK96" s="353">
        <v>6</v>
      </c>
      <c r="AL96" s="353">
        <v>4</v>
      </c>
      <c r="AM96" s="353">
        <v>12</v>
      </c>
      <c r="AN96" s="204" t="s">
        <v>186</v>
      </c>
      <c r="AO96" s="204" t="s">
        <v>1248</v>
      </c>
      <c r="AP96" s="204" t="s">
        <v>1248</v>
      </c>
      <c r="AQ96" s="353">
        <v>0</v>
      </c>
      <c r="AR96" s="204" t="s">
        <v>1248</v>
      </c>
      <c r="AS96" s="204" t="s">
        <v>1248</v>
      </c>
      <c r="AT96" s="204" t="s">
        <v>1248</v>
      </c>
      <c r="AU96" s="204" t="s">
        <v>1248</v>
      </c>
      <c r="AV96" s="204" t="s">
        <v>771</v>
      </c>
      <c r="AW96" s="204" t="s">
        <v>1248</v>
      </c>
      <c r="AX96" s="204" t="s">
        <v>1253</v>
      </c>
      <c r="AZ96" s="204" t="s">
        <v>1248</v>
      </c>
      <c r="BB96" s="204" t="s">
        <v>751</v>
      </c>
      <c r="BC96" s="353">
        <v>5000</v>
      </c>
      <c r="BD96" s="353">
        <v>2430</v>
      </c>
      <c r="BE96" s="204" t="s">
        <v>723</v>
      </c>
      <c r="BF96" s="353">
        <v>0</v>
      </c>
      <c r="BG96" s="204" t="s">
        <v>1248</v>
      </c>
      <c r="BH96" s="204" t="s">
        <v>1248</v>
      </c>
      <c r="BI96" s="204" t="s">
        <v>723</v>
      </c>
      <c r="BK96" s="353">
        <v>0</v>
      </c>
      <c r="BL96" s="353">
        <v>0</v>
      </c>
      <c r="BM96" s="353">
        <v>0</v>
      </c>
      <c r="BN96" s="353">
        <v>0</v>
      </c>
      <c r="BO96" s="353">
        <v>0</v>
      </c>
      <c r="BP96" s="353">
        <v>0</v>
      </c>
      <c r="BQ96" s="353">
        <v>0</v>
      </c>
      <c r="BT96" s="353">
        <v>0</v>
      </c>
      <c r="BU96" s="353">
        <v>0</v>
      </c>
      <c r="CA96" s="353">
        <v>0</v>
      </c>
      <c r="CB96" s="353">
        <v>302.73158523000001</v>
      </c>
      <c r="CC96" s="204" t="s">
        <v>425</v>
      </c>
      <c r="CD96" s="204" t="s">
        <v>300</v>
      </c>
      <c r="CE96" s="204" t="s">
        <v>301</v>
      </c>
      <c r="CF96" s="204" t="s">
        <v>1432</v>
      </c>
      <c r="CG96" s="204" t="s">
        <v>1256</v>
      </c>
      <c r="CH96" s="204" t="s">
        <v>1298</v>
      </c>
      <c r="CI96" s="204" t="s">
        <v>351</v>
      </c>
      <c r="CJ96" s="204" t="s">
        <v>678</v>
      </c>
      <c r="CK96" s="353">
        <v>-9999</v>
      </c>
      <c r="CM96" s="353">
        <v>-9999</v>
      </c>
      <c r="CO96" s="353">
        <v>-9999</v>
      </c>
      <c r="CS96" s="353">
        <v>-9999</v>
      </c>
      <c r="CT96" s="353">
        <v>-9999</v>
      </c>
      <c r="CV96" s="204" t="s">
        <v>1265</v>
      </c>
      <c r="CW96" s="353">
        <v>7.7347575567799994E-5</v>
      </c>
      <c r="CX96" s="204">
        <v>986</v>
      </c>
      <c r="CY96" s="204">
        <v>3922</v>
      </c>
      <c r="CZ96" s="204">
        <v>8712</v>
      </c>
      <c r="DA96" s="204">
        <v>6</v>
      </c>
      <c r="DB96" s="353">
        <v>6.7320000002299998E-2</v>
      </c>
      <c r="DC96" s="353">
        <v>1.76276250001E-5</v>
      </c>
      <c r="DD96" s="204">
        <v>10</v>
      </c>
      <c r="DE96" s="353">
        <v>0</v>
      </c>
      <c r="DF96" s="353">
        <v>0</v>
      </c>
      <c r="DG96" s="353">
        <v>5.8646597371000003E-2</v>
      </c>
      <c r="DH96" s="353">
        <v>4972.1677442700002</v>
      </c>
    </row>
    <row r="97" spans="1:112">
      <c r="A97" s="204">
        <v>987</v>
      </c>
      <c r="B97" s="204">
        <v>2</v>
      </c>
      <c r="C97" s="204">
        <v>16217</v>
      </c>
      <c r="D97" s="204">
        <v>0</v>
      </c>
      <c r="E97" s="204">
        <v>987</v>
      </c>
      <c r="F97" s="204">
        <v>1</v>
      </c>
      <c r="G97" s="204">
        <v>987</v>
      </c>
      <c r="H97" s="204" t="s">
        <v>772</v>
      </c>
      <c r="I97" s="354">
        <v>37462</v>
      </c>
      <c r="J97" s="204" t="s">
        <v>772</v>
      </c>
      <c r="K97" s="204" t="s">
        <v>1442</v>
      </c>
      <c r="L97" s="204" t="s">
        <v>1294</v>
      </c>
      <c r="M97" s="204" t="s">
        <v>773</v>
      </c>
      <c r="N97" s="353">
        <v>100</v>
      </c>
      <c r="P97" s="204" t="s">
        <v>774</v>
      </c>
      <c r="R97" s="204" t="s">
        <v>1248</v>
      </c>
      <c r="S97" s="353">
        <v>0</v>
      </c>
      <c r="T97" s="204" t="s">
        <v>775</v>
      </c>
      <c r="U97" s="204" t="s">
        <v>294</v>
      </c>
      <c r="W97" s="204" t="s">
        <v>776</v>
      </c>
      <c r="Z97" s="204" t="s">
        <v>369</v>
      </c>
      <c r="AA97" s="204" t="s">
        <v>704</v>
      </c>
      <c r="AB97" s="204" t="s">
        <v>683</v>
      </c>
      <c r="AC97" s="204" t="s">
        <v>1278</v>
      </c>
      <c r="AD97" s="204" t="s">
        <v>384</v>
      </c>
      <c r="AE97" s="353">
        <v>20902</v>
      </c>
      <c r="AF97" s="353">
        <v>121233</v>
      </c>
      <c r="AG97" s="353">
        <v>0</v>
      </c>
      <c r="AH97" s="204" t="s">
        <v>423</v>
      </c>
      <c r="AI97" s="353">
        <v>1</v>
      </c>
      <c r="AJ97" s="353">
        <v>1</v>
      </c>
      <c r="AK97" s="353">
        <v>6</v>
      </c>
      <c r="AL97" s="353">
        <v>2</v>
      </c>
      <c r="AM97" s="353">
        <v>12</v>
      </c>
      <c r="AN97" s="204" t="s">
        <v>186</v>
      </c>
      <c r="AO97" s="204" t="s">
        <v>1261</v>
      </c>
      <c r="AP97" s="204" t="s">
        <v>1248</v>
      </c>
      <c r="AQ97" s="353">
        <v>2</v>
      </c>
      <c r="AR97" s="204" t="s">
        <v>1248</v>
      </c>
      <c r="AS97" s="204" t="s">
        <v>1248</v>
      </c>
      <c r="AT97" s="204" t="s">
        <v>1248</v>
      </c>
      <c r="AU97" s="204" t="s">
        <v>1248</v>
      </c>
      <c r="AV97" s="204" t="s">
        <v>469</v>
      </c>
      <c r="AW97" s="204" t="s">
        <v>1248</v>
      </c>
      <c r="AX97" s="204" t="s">
        <v>1253</v>
      </c>
      <c r="AY97" s="204" t="s">
        <v>1248</v>
      </c>
      <c r="AZ97" s="204" t="s">
        <v>1248</v>
      </c>
      <c r="BA97" s="204" t="s">
        <v>1248</v>
      </c>
      <c r="BB97" s="204" t="s">
        <v>469</v>
      </c>
      <c r="BC97" s="353">
        <v>5000</v>
      </c>
      <c r="BD97" s="353">
        <v>3168</v>
      </c>
      <c r="BE97" s="204" t="s">
        <v>723</v>
      </c>
      <c r="BF97" s="353">
        <v>0</v>
      </c>
      <c r="BG97" s="204" t="s">
        <v>1248</v>
      </c>
      <c r="BH97" s="204" t="s">
        <v>1248</v>
      </c>
      <c r="BI97" s="204" t="s">
        <v>723</v>
      </c>
      <c r="BK97" s="353">
        <v>0</v>
      </c>
      <c r="BL97" s="353">
        <v>0</v>
      </c>
      <c r="BM97" s="353">
        <v>0</v>
      </c>
      <c r="BN97" s="353">
        <v>0</v>
      </c>
      <c r="BO97" s="353">
        <v>0</v>
      </c>
      <c r="BP97" s="353">
        <v>0</v>
      </c>
      <c r="BQ97" s="353">
        <v>0</v>
      </c>
      <c r="BT97" s="353">
        <v>0</v>
      </c>
      <c r="BU97" s="353">
        <v>0</v>
      </c>
      <c r="CA97" s="353">
        <v>0</v>
      </c>
      <c r="CB97" s="353">
        <v>299.22431614800001</v>
      </c>
      <c r="CC97" s="204" t="s">
        <v>425</v>
      </c>
      <c r="CD97" s="204" t="s">
        <v>300</v>
      </c>
      <c r="CE97" s="204" t="s">
        <v>301</v>
      </c>
      <c r="CF97" s="204" t="s">
        <v>1432</v>
      </c>
      <c r="CG97" s="204" t="s">
        <v>1256</v>
      </c>
      <c r="CH97" s="204" t="s">
        <v>1298</v>
      </c>
      <c r="CI97" s="204" t="s">
        <v>351</v>
      </c>
      <c r="CJ97" s="204" t="s">
        <v>678</v>
      </c>
      <c r="CK97" s="353">
        <v>-9999</v>
      </c>
      <c r="CM97" s="353">
        <v>-9999</v>
      </c>
      <c r="CO97" s="353">
        <v>-9999</v>
      </c>
      <c r="CS97" s="353">
        <v>-9999</v>
      </c>
      <c r="CT97" s="353">
        <v>-9999</v>
      </c>
      <c r="CV97" s="204" t="s">
        <v>1265</v>
      </c>
      <c r="CW97" s="353">
        <v>7.7347575567799994E-5</v>
      </c>
      <c r="CX97" s="204">
        <v>987</v>
      </c>
      <c r="CY97" s="204">
        <v>3922</v>
      </c>
      <c r="CZ97" s="204">
        <v>8712</v>
      </c>
      <c r="DA97" s="204">
        <v>6</v>
      </c>
      <c r="DB97" s="353">
        <v>6.7320000002299998E-2</v>
      </c>
      <c r="DC97" s="353">
        <v>1.76276250001E-5</v>
      </c>
      <c r="DD97" s="204">
        <v>10</v>
      </c>
      <c r="DE97" s="353">
        <v>0</v>
      </c>
      <c r="DF97" s="353">
        <v>0</v>
      </c>
      <c r="DG97" s="353">
        <v>5.8646597371000003E-2</v>
      </c>
      <c r="DH97" s="353">
        <v>4990.7237370000003</v>
      </c>
    </row>
    <row r="98" spans="1:112">
      <c r="A98" s="204">
        <v>988</v>
      </c>
      <c r="B98" s="204">
        <v>1</v>
      </c>
      <c r="C98" s="204">
        <v>16237</v>
      </c>
      <c r="D98" s="204">
        <v>0</v>
      </c>
      <c r="E98" s="204">
        <v>988</v>
      </c>
      <c r="F98" s="204">
        <v>2</v>
      </c>
      <c r="G98" s="204">
        <v>988</v>
      </c>
      <c r="H98" s="204" t="s">
        <v>777</v>
      </c>
      <c r="I98" s="354">
        <v>37462</v>
      </c>
      <c r="J98" s="204" t="s">
        <v>777</v>
      </c>
      <c r="K98" s="204" t="s">
        <v>1430</v>
      </c>
      <c r="L98" s="204" t="s">
        <v>1288</v>
      </c>
      <c r="M98" s="204" t="s">
        <v>778</v>
      </c>
      <c r="N98" s="353">
        <v>100</v>
      </c>
      <c r="O98" s="204" t="s">
        <v>1444</v>
      </c>
      <c r="P98" s="204" t="s">
        <v>779</v>
      </c>
      <c r="R98" s="204" t="s">
        <v>1248</v>
      </c>
      <c r="S98" s="353">
        <v>0</v>
      </c>
      <c r="T98" s="204" t="s">
        <v>745</v>
      </c>
      <c r="U98" s="204" t="s">
        <v>294</v>
      </c>
      <c r="W98" s="204" t="s">
        <v>780</v>
      </c>
      <c r="Z98" s="204" t="s">
        <v>369</v>
      </c>
      <c r="AA98" s="204" t="s">
        <v>704</v>
      </c>
      <c r="AB98" s="204" t="s">
        <v>1445</v>
      </c>
      <c r="AC98" s="204" t="s">
        <v>1278</v>
      </c>
      <c r="AD98" s="204" t="s">
        <v>384</v>
      </c>
      <c r="AE98" s="353">
        <v>4608</v>
      </c>
      <c r="AF98" s="353">
        <v>23126</v>
      </c>
      <c r="AG98" s="353">
        <v>0</v>
      </c>
      <c r="AH98" s="204" t="s">
        <v>423</v>
      </c>
      <c r="AI98" s="353">
        <v>1</v>
      </c>
      <c r="AJ98" s="353">
        <v>1</v>
      </c>
      <c r="AK98" s="353">
        <v>4</v>
      </c>
      <c r="AL98" s="353">
        <v>2</v>
      </c>
      <c r="AM98" s="353">
        <v>10</v>
      </c>
      <c r="AN98" s="204" t="s">
        <v>1281</v>
      </c>
      <c r="AO98" s="204" t="s">
        <v>1248</v>
      </c>
      <c r="AP98" s="204" t="s">
        <v>1248</v>
      </c>
      <c r="AQ98" s="353">
        <v>0</v>
      </c>
      <c r="AR98" s="204" t="s">
        <v>1248</v>
      </c>
      <c r="AS98" s="204" t="s">
        <v>1248</v>
      </c>
      <c r="AT98" s="204" t="s">
        <v>1248</v>
      </c>
      <c r="AU98" s="204" t="s">
        <v>1248</v>
      </c>
      <c r="AV98" s="204" t="s">
        <v>458</v>
      </c>
      <c r="AW98" s="204" t="s">
        <v>1248</v>
      </c>
      <c r="AX98" s="204" t="s">
        <v>1253</v>
      </c>
      <c r="AZ98" s="204" t="s">
        <v>1248</v>
      </c>
      <c r="BB98" s="204" t="s">
        <v>1377</v>
      </c>
      <c r="BC98" s="353">
        <v>5000</v>
      </c>
      <c r="BD98" s="353">
        <v>1672</v>
      </c>
      <c r="BE98" s="204" t="s">
        <v>723</v>
      </c>
      <c r="BF98" s="353">
        <v>0</v>
      </c>
      <c r="BG98" s="204" t="s">
        <v>1248</v>
      </c>
      <c r="BH98" s="204" t="s">
        <v>1248</v>
      </c>
      <c r="BI98" s="204" t="s">
        <v>723</v>
      </c>
      <c r="BK98" s="353">
        <v>0</v>
      </c>
      <c r="BL98" s="353">
        <v>0</v>
      </c>
      <c r="BM98" s="353">
        <v>0</v>
      </c>
      <c r="BN98" s="353">
        <v>0</v>
      </c>
      <c r="BO98" s="353">
        <v>0</v>
      </c>
      <c r="BP98" s="353">
        <v>0</v>
      </c>
      <c r="BQ98" s="353">
        <v>0</v>
      </c>
      <c r="BT98" s="353">
        <v>0</v>
      </c>
      <c r="BU98" s="353">
        <v>0</v>
      </c>
      <c r="CA98" s="353">
        <v>0</v>
      </c>
      <c r="CB98" s="353">
        <v>300.02154060599997</v>
      </c>
      <c r="CC98" s="204" t="s">
        <v>425</v>
      </c>
      <c r="CD98" s="204" t="s">
        <v>300</v>
      </c>
      <c r="CE98" s="204" t="s">
        <v>301</v>
      </c>
      <c r="CF98" s="204" t="s">
        <v>1432</v>
      </c>
      <c r="CG98" s="204" t="s">
        <v>1256</v>
      </c>
      <c r="CH98" s="204" t="s">
        <v>1298</v>
      </c>
      <c r="CI98" s="204" t="s">
        <v>351</v>
      </c>
      <c r="CJ98" s="204" t="s">
        <v>678</v>
      </c>
      <c r="CK98" s="353">
        <v>-9999</v>
      </c>
      <c r="CM98" s="353">
        <v>-9999</v>
      </c>
      <c r="CO98" s="353">
        <v>-9999</v>
      </c>
      <c r="CS98" s="353">
        <v>-9999</v>
      </c>
      <c r="CT98" s="353">
        <v>-9999</v>
      </c>
      <c r="CV98" s="204" t="s">
        <v>1265</v>
      </c>
      <c r="CW98" s="353">
        <v>7.7347575567799994E-5</v>
      </c>
      <c r="CX98" s="204">
        <v>988</v>
      </c>
      <c r="CY98" s="204">
        <v>3922</v>
      </c>
      <c r="CZ98" s="204">
        <v>8712</v>
      </c>
      <c r="DA98" s="204">
        <v>6</v>
      </c>
      <c r="DB98" s="353">
        <v>6.7320000002299998E-2</v>
      </c>
      <c r="DC98" s="353">
        <v>1.76276250001E-5</v>
      </c>
      <c r="DD98" s="204">
        <v>10</v>
      </c>
      <c r="DE98" s="353">
        <v>0</v>
      </c>
      <c r="DF98" s="353">
        <v>0</v>
      </c>
      <c r="DG98" s="353">
        <v>5.8646597371000003E-2</v>
      </c>
      <c r="DH98" s="353">
        <v>5022.6502142700001</v>
      </c>
    </row>
    <row r="99" spans="1:112">
      <c r="A99" s="204">
        <v>989</v>
      </c>
      <c r="B99" s="204">
        <v>1</v>
      </c>
      <c r="C99" s="204">
        <v>16240</v>
      </c>
      <c r="D99" s="204">
        <v>0</v>
      </c>
      <c r="E99" s="204">
        <v>989</v>
      </c>
      <c r="F99" s="204">
        <v>2</v>
      </c>
      <c r="G99" s="204">
        <v>989</v>
      </c>
      <c r="H99" s="204" t="s">
        <v>968</v>
      </c>
      <c r="I99" s="354">
        <v>37462</v>
      </c>
      <c r="J99" s="204" t="s">
        <v>968</v>
      </c>
      <c r="K99" s="204" t="s">
        <v>1430</v>
      </c>
      <c r="L99" s="204" t="s">
        <v>302</v>
      </c>
      <c r="M99" s="204" t="s">
        <v>969</v>
      </c>
      <c r="N99" s="353">
        <v>14</v>
      </c>
      <c r="O99" s="204" t="s">
        <v>1446</v>
      </c>
      <c r="P99" s="204" t="s">
        <v>970</v>
      </c>
      <c r="R99" s="204" t="s">
        <v>1248</v>
      </c>
      <c r="S99" s="353">
        <v>0</v>
      </c>
      <c r="T99" s="204" t="s">
        <v>745</v>
      </c>
      <c r="U99" s="204" t="s">
        <v>294</v>
      </c>
      <c r="W99" s="204" t="s">
        <v>971</v>
      </c>
      <c r="X99" s="204" t="s">
        <v>1447</v>
      </c>
      <c r="Z99" s="204" t="s">
        <v>369</v>
      </c>
      <c r="AA99" s="204" t="s">
        <v>704</v>
      </c>
      <c r="AB99" s="204" t="s">
        <v>1445</v>
      </c>
      <c r="AC99" s="204" t="s">
        <v>1274</v>
      </c>
      <c r="AD99" s="204" t="s">
        <v>1251</v>
      </c>
      <c r="AE99" s="353">
        <v>4970</v>
      </c>
      <c r="AF99" s="353">
        <v>0</v>
      </c>
      <c r="AG99" s="353">
        <v>0</v>
      </c>
      <c r="AH99" s="204" t="s">
        <v>298</v>
      </c>
      <c r="AI99" s="353">
        <v>1</v>
      </c>
      <c r="AJ99" s="353">
        <v>1</v>
      </c>
      <c r="AK99" s="353">
        <v>0</v>
      </c>
      <c r="AL99" s="353">
        <v>0</v>
      </c>
      <c r="AM99" s="353">
        <v>0</v>
      </c>
      <c r="AQ99" s="353">
        <v>0</v>
      </c>
      <c r="BC99" s="353">
        <v>0</v>
      </c>
      <c r="BD99" s="353">
        <v>0</v>
      </c>
      <c r="BF99" s="353">
        <v>0</v>
      </c>
      <c r="BG99" s="204" t="s">
        <v>1248</v>
      </c>
      <c r="BH99" s="204" t="s">
        <v>1248</v>
      </c>
      <c r="BJ99" s="204" t="s">
        <v>233</v>
      </c>
      <c r="BK99" s="353">
        <v>0</v>
      </c>
      <c r="BL99" s="353">
        <v>0</v>
      </c>
      <c r="BM99" s="353">
        <v>0</v>
      </c>
      <c r="BN99" s="353">
        <v>0</v>
      </c>
      <c r="BO99" s="353">
        <v>0</v>
      </c>
      <c r="BP99" s="353">
        <v>0</v>
      </c>
      <c r="BQ99" s="353">
        <v>0</v>
      </c>
      <c r="BT99" s="353">
        <v>0</v>
      </c>
      <c r="BU99" s="353">
        <v>5000</v>
      </c>
      <c r="BV99" s="204" t="s">
        <v>1248</v>
      </c>
      <c r="BW99" s="204" t="s">
        <v>1253</v>
      </c>
      <c r="BX99" s="204" t="s">
        <v>1248</v>
      </c>
      <c r="BY99" s="204" t="s">
        <v>1248</v>
      </c>
      <c r="CA99" s="353">
        <v>0</v>
      </c>
      <c r="CB99" s="353">
        <v>299.78879811000002</v>
      </c>
      <c r="CC99" s="204" t="s">
        <v>88</v>
      </c>
      <c r="CD99" s="204" t="s">
        <v>300</v>
      </c>
      <c r="CE99" s="204" t="s">
        <v>301</v>
      </c>
      <c r="CF99" s="204" t="s">
        <v>1432</v>
      </c>
      <c r="CG99" s="204" t="s">
        <v>1256</v>
      </c>
      <c r="CH99" s="204" t="s">
        <v>1298</v>
      </c>
      <c r="CI99" s="204" t="s">
        <v>351</v>
      </c>
      <c r="CJ99" s="204" t="s">
        <v>678</v>
      </c>
      <c r="CK99" s="353">
        <v>-9999</v>
      </c>
      <c r="CM99" s="353">
        <v>-9999</v>
      </c>
      <c r="CO99" s="353">
        <v>-9999</v>
      </c>
      <c r="CS99" s="353">
        <v>-9999</v>
      </c>
      <c r="CT99" s="353">
        <v>-9999</v>
      </c>
      <c r="CV99" s="204" t="s">
        <v>1265</v>
      </c>
      <c r="CW99" s="353">
        <v>7.7347575567799994E-5</v>
      </c>
      <c r="CX99" s="204">
        <v>989</v>
      </c>
      <c r="CY99" s="204">
        <v>3922</v>
      </c>
      <c r="CZ99" s="204">
        <v>8712</v>
      </c>
      <c r="DA99" s="204">
        <v>6</v>
      </c>
      <c r="DB99" s="353">
        <v>6.7320000002299998E-2</v>
      </c>
      <c r="DC99" s="353">
        <v>1.76276250001E-5</v>
      </c>
      <c r="DD99" s="204">
        <v>10</v>
      </c>
      <c r="DE99" s="353">
        <v>0</v>
      </c>
      <c r="DF99" s="353">
        <v>0</v>
      </c>
      <c r="DG99" s="353">
        <v>5.8646597371000003E-2</v>
      </c>
      <c r="DH99" s="353">
        <v>4994.3440324599997</v>
      </c>
    </row>
    <row r="100" spans="1:112">
      <c r="A100" s="204">
        <v>990</v>
      </c>
      <c r="B100" s="204">
        <v>1</v>
      </c>
      <c r="C100" s="204">
        <v>16244</v>
      </c>
      <c r="D100" s="204">
        <v>0</v>
      </c>
      <c r="E100" s="204">
        <v>990</v>
      </c>
      <c r="F100" s="204">
        <v>2</v>
      </c>
      <c r="G100" s="204">
        <v>990</v>
      </c>
      <c r="H100" s="204" t="s">
        <v>781</v>
      </c>
      <c r="I100" s="354">
        <v>37462</v>
      </c>
      <c r="J100" s="204" t="s">
        <v>781</v>
      </c>
      <c r="K100" s="204" t="s">
        <v>1442</v>
      </c>
      <c r="L100" s="204" t="s">
        <v>1294</v>
      </c>
      <c r="M100" s="204" t="s">
        <v>782</v>
      </c>
      <c r="N100" s="353">
        <v>100</v>
      </c>
      <c r="P100" s="204" t="s">
        <v>783</v>
      </c>
      <c r="R100" s="204" t="s">
        <v>1248</v>
      </c>
      <c r="S100" s="353">
        <v>0</v>
      </c>
      <c r="T100" s="204" t="s">
        <v>784</v>
      </c>
      <c r="U100" s="204" t="s">
        <v>294</v>
      </c>
      <c r="W100" s="204" t="s">
        <v>785</v>
      </c>
      <c r="X100" s="204" t="s">
        <v>1274</v>
      </c>
      <c r="Z100" s="204" t="s">
        <v>369</v>
      </c>
      <c r="AA100" s="204" t="s">
        <v>704</v>
      </c>
      <c r="AB100" s="204" t="s">
        <v>1448</v>
      </c>
      <c r="AC100" s="204" t="s">
        <v>1278</v>
      </c>
      <c r="AD100" s="204" t="s">
        <v>384</v>
      </c>
      <c r="AE100" s="353">
        <v>5250</v>
      </c>
      <c r="AF100" s="353">
        <v>42018</v>
      </c>
      <c r="AG100" s="353">
        <v>0</v>
      </c>
      <c r="AH100" s="204" t="s">
        <v>423</v>
      </c>
      <c r="AI100" s="353">
        <v>1</v>
      </c>
      <c r="AJ100" s="353">
        <v>1</v>
      </c>
      <c r="AK100" s="353">
        <v>4</v>
      </c>
      <c r="AL100" s="353">
        <v>2</v>
      </c>
      <c r="AM100" s="353">
        <v>8</v>
      </c>
      <c r="AN100" s="204" t="s">
        <v>1281</v>
      </c>
      <c r="AO100" s="204" t="s">
        <v>1248</v>
      </c>
      <c r="AP100" s="204" t="s">
        <v>1248</v>
      </c>
      <c r="AQ100" s="353">
        <v>0</v>
      </c>
      <c r="AR100" s="204" t="s">
        <v>1296</v>
      </c>
      <c r="AS100" s="204" t="s">
        <v>1248</v>
      </c>
      <c r="AT100" s="204" t="s">
        <v>1248</v>
      </c>
      <c r="AU100" s="204" t="s">
        <v>1248</v>
      </c>
      <c r="AV100" s="204" t="s">
        <v>786</v>
      </c>
      <c r="AW100" s="204" t="s">
        <v>1248</v>
      </c>
      <c r="AX100" s="204" t="s">
        <v>1253</v>
      </c>
      <c r="AY100" s="204" t="s">
        <v>1248</v>
      </c>
      <c r="AZ100" s="204" t="s">
        <v>1248</v>
      </c>
      <c r="BA100" s="204" t="s">
        <v>1248</v>
      </c>
      <c r="BB100" s="204" t="s">
        <v>786</v>
      </c>
      <c r="BC100" s="353">
        <v>4900</v>
      </c>
      <c r="BD100" s="353">
        <v>1782</v>
      </c>
      <c r="BE100" s="204" t="s">
        <v>723</v>
      </c>
      <c r="BF100" s="353">
        <v>0</v>
      </c>
      <c r="BG100" s="204" t="s">
        <v>1248</v>
      </c>
      <c r="BH100" s="204" t="s">
        <v>1248</v>
      </c>
      <c r="BI100" s="204" t="s">
        <v>723</v>
      </c>
      <c r="BK100" s="353">
        <v>0</v>
      </c>
      <c r="BL100" s="353">
        <v>0</v>
      </c>
      <c r="BM100" s="353">
        <v>0</v>
      </c>
      <c r="BN100" s="353">
        <v>0</v>
      </c>
      <c r="BO100" s="353">
        <v>0</v>
      </c>
      <c r="BP100" s="353">
        <v>0</v>
      </c>
      <c r="BQ100" s="353">
        <v>0</v>
      </c>
      <c r="BT100" s="353">
        <v>0</v>
      </c>
      <c r="BU100" s="353">
        <v>0</v>
      </c>
      <c r="CA100" s="353">
        <v>0</v>
      </c>
      <c r="CB100" s="353">
        <v>292.16220633500001</v>
      </c>
      <c r="CC100" s="204" t="s">
        <v>425</v>
      </c>
      <c r="CD100" s="204" t="s">
        <v>300</v>
      </c>
      <c r="CE100" s="204" t="s">
        <v>301</v>
      </c>
      <c r="CF100" s="204" t="s">
        <v>1432</v>
      </c>
      <c r="CG100" s="204" t="s">
        <v>1256</v>
      </c>
      <c r="CH100" s="204" t="s">
        <v>1298</v>
      </c>
      <c r="CI100" s="204" t="s">
        <v>351</v>
      </c>
      <c r="CJ100" s="204" t="s">
        <v>678</v>
      </c>
      <c r="CK100" s="353">
        <v>-9999</v>
      </c>
      <c r="CM100" s="353">
        <v>-9999</v>
      </c>
      <c r="CO100" s="353">
        <v>-9999</v>
      </c>
      <c r="CS100" s="353">
        <v>-9999</v>
      </c>
      <c r="CT100" s="353">
        <v>-9999</v>
      </c>
      <c r="CV100" s="204" t="s">
        <v>1265</v>
      </c>
      <c r="CW100" s="353">
        <v>7.7347575567799994E-5</v>
      </c>
      <c r="CX100" s="204">
        <v>990</v>
      </c>
      <c r="CY100" s="204">
        <v>3922</v>
      </c>
      <c r="CZ100" s="204">
        <v>8712</v>
      </c>
      <c r="DA100" s="204">
        <v>6</v>
      </c>
      <c r="DB100" s="353">
        <v>6.7320000002299998E-2</v>
      </c>
      <c r="DC100" s="353">
        <v>1.76276250001E-5</v>
      </c>
      <c r="DD100" s="204">
        <v>10</v>
      </c>
      <c r="DE100" s="353">
        <v>0</v>
      </c>
      <c r="DF100" s="353">
        <v>0</v>
      </c>
      <c r="DG100" s="353">
        <v>5.8646597371000003E-2</v>
      </c>
      <c r="DH100" s="353">
        <v>4946.6766222599999</v>
      </c>
    </row>
    <row r="101" spans="1:112">
      <c r="A101" s="204">
        <v>991</v>
      </c>
      <c r="B101" s="204">
        <v>1</v>
      </c>
      <c r="C101" s="204">
        <v>16252</v>
      </c>
      <c r="D101" s="204">
        <v>0</v>
      </c>
      <c r="E101" s="204">
        <v>991</v>
      </c>
      <c r="F101" s="204">
        <v>1</v>
      </c>
      <c r="G101" s="204">
        <v>991</v>
      </c>
      <c r="H101" s="204" t="s">
        <v>737</v>
      </c>
      <c r="I101" s="354">
        <v>37462</v>
      </c>
      <c r="J101" s="204" t="s">
        <v>737</v>
      </c>
      <c r="K101" s="204" t="s">
        <v>1442</v>
      </c>
      <c r="L101" s="204" t="s">
        <v>1294</v>
      </c>
      <c r="M101" s="204" t="s">
        <v>738</v>
      </c>
      <c r="N101" s="353">
        <v>100</v>
      </c>
      <c r="P101" s="204" t="s">
        <v>739</v>
      </c>
      <c r="R101" s="204" t="s">
        <v>1248</v>
      </c>
      <c r="S101" s="353">
        <v>0</v>
      </c>
      <c r="T101" s="204" t="s">
        <v>740</v>
      </c>
      <c r="U101" s="204" t="s">
        <v>307</v>
      </c>
      <c r="W101" s="204" t="s">
        <v>741</v>
      </c>
      <c r="Z101" s="204" t="s">
        <v>369</v>
      </c>
      <c r="AA101" s="204" t="s">
        <v>704</v>
      </c>
      <c r="AB101" s="204" t="s">
        <v>1449</v>
      </c>
      <c r="AC101" s="204" t="s">
        <v>1292</v>
      </c>
      <c r="AD101" s="204" t="s">
        <v>384</v>
      </c>
      <c r="AE101" s="353">
        <v>405938</v>
      </c>
      <c r="AF101" s="353">
        <v>139176</v>
      </c>
      <c r="AG101" s="353">
        <v>0</v>
      </c>
      <c r="AH101" s="204" t="s">
        <v>423</v>
      </c>
      <c r="AI101" s="353">
        <v>1</v>
      </c>
      <c r="AJ101" s="353">
        <v>3</v>
      </c>
      <c r="AK101" s="353">
        <v>3</v>
      </c>
      <c r="AL101" s="353">
        <v>1</v>
      </c>
      <c r="AM101" s="353">
        <v>6</v>
      </c>
      <c r="AN101" s="204" t="s">
        <v>186</v>
      </c>
      <c r="AO101" s="204" t="s">
        <v>1261</v>
      </c>
      <c r="AP101" s="204" t="s">
        <v>1248</v>
      </c>
      <c r="AQ101" s="353">
        <v>2</v>
      </c>
      <c r="AR101" s="204" t="s">
        <v>1248</v>
      </c>
      <c r="AS101" s="204" t="s">
        <v>1248</v>
      </c>
      <c r="AT101" s="204" t="s">
        <v>1248</v>
      </c>
      <c r="AU101" s="204" t="s">
        <v>1248</v>
      </c>
      <c r="AW101" s="204" t="s">
        <v>1248</v>
      </c>
      <c r="AX101" s="204" t="s">
        <v>1253</v>
      </c>
      <c r="AZ101" s="204" t="s">
        <v>1248</v>
      </c>
      <c r="BB101" s="204" t="s">
        <v>808</v>
      </c>
      <c r="BC101" s="353">
        <v>10600</v>
      </c>
      <c r="BD101" s="353">
        <v>896</v>
      </c>
      <c r="BE101" s="204" t="s">
        <v>723</v>
      </c>
      <c r="BF101" s="353">
        <v>0</v>
      </c>
      <c r="BG101" s="204" t="s">
        <v>1248</v>
      </c>
      <c r="BH101" s="204" t="s">
        <v>1248</v>
      </c>
      <c r="BI101" s="204" t="s">
        <v>723</v>
      </c>
      <c r="BK101" s="353">
        <v>0</v>
      </c>
      <c r="BL101" s="353">
        <v>0</v>
      </c>
      <c r="BM101" s="353">
        <v>0</v>
      </c>
      <c r="BN101" s="353">
        <v>0</v>
      </c>
      <c r="BO101" s="353">
        <v>0</v>
      </c>
      <c r="BP101" s="353">
        <v>0</v>
      </c>
      <c r="BQ101" s="353">
        <v>0</v>
      </c>
      <c r="BT101" s="353">
        <v>0</v>
      </c>
      <c r="BU101" s="353">
        <v>0</v>
      </c>
      <c r="CA101" s="353">
        <v>0</v>
      </c>
      <c r="CB101" s="353">
        <v>427.44077535999998</v>
      </c>
      <c r="CC101" s="204" t="s">
        <v>498</v>
      </c>
      <c r="CD101" s="204" t="s">
        <v>300</v>
      </c>
      <c r="CE101" s="204" t="s">
        <v>301</v>
      </c>
      <c r="CF101" s="204" t="s">
        <v>1432</v>
      </c>
      <c r="CG101" s="204" t="s">
        <v>1256</v>
      </c>
      <c r="CH101" s="204" t="s">
        <v>1298</v>
      </c>
      <c r="CI101" s="204" t="s">
        <v>351</v>
      </c>
      <c r="CJ101" s="204" t="s">
        <v>678</v>
      </c>
      <c r="CK101" s="353">
        <v>-9999</v>
      </c>
      <c r="CM101" s="353">
        <v>-9999</v>
      </c>
      <c r="CO101" s="353">
        <v>-9999</v>
      </c>
      <c r="CS101" s="353">
        <v>-9999</v>
      </c>
      <c r="CT101" s="353">
        <v>-9999</v>
      </c>
      <c r="CV101" s="204" t="s">
        <v>1265</v>
      </c>
      <c r="CW101" s="353">
        <v>7.7347575567799994E-5</v>
      </c>
      <c r="CX101" s="204">
        <v>991</v>
      </c>
      <c r="CY101" s="204">
        <v>3922</v>
      </c>
      <c r="CZ101" s="204">
        <v>8712</v>
      </c>
      <c r="DA101" s="204">
        <v>6</v>
      </c>
      <c r="DB101" s="353">
        <v>6.7320000002299998E-2</v>
      </c>
      <c r="DC101" s="353">
        <v>1.76276250001E-5</v>
      </c>
      <c r="DD101" s="204">
        <v>10</v>
      </c>
      <c r="DE101" s="353">
        <v>0</v>
      </c>
      <c r="DF101" s="353">
        <v>0</v>
      </c>
      <c r="DG101" s="353">
        <v>5.8646597371000003E-2</v>
      </c>
      <c r="DH101" s="353">
        <v>10677.9203333</v>
      </c>
    </row>
    <row r="102" spans="1:112">
      <c r="A102" s="204">
        <v>992</v>
      </c>
      <c r="B102" s="204">
        <v>1</v>
      </c>
      <c r="C102" s="204">
        <v>16258</v>
      </c>
      <c r="D102" s="204">
        <v>0</v>
      </c>
      <c r="E102" s="204">
        <v>992</v>
      </c>
      <c r="F102" s="204">
        <v>2</v>
      </c>
      <c r="G102" s="204">
        <v>992</v>
      </c>
      <c r="H102" s="204" t="s">
        <v>787</v>
      </c>
      <c r="I102" s="354">
        <v>37462</v>
      </c>
      <c r="J102" s="204" t="s">
        <v>787</v>
      </c>
      <c r="K102" s="204" t="s">
        <v>1442</v>
      </c>
      <c r="L102" s="204" t="s">
        <v>1294</v>
      </c>
      <c r="M102" s="204" t="s">
        <v>768</v>
      </c>
      <c r="N102" s="353">
        <v>100</v>
      </c>
      <c r="P102" s="204" t="s">
        <v>788</v>
      </c>
      <c r="R102" s="204" t="s">
        <v>1248</v>
      </c>
      <c r="S102" s="353">
        <v>0</v>
      </c>
      <c r="T102" s="204" t="s">
        <v>789</v>
      </c>
      <c r="U102" s="204" t="s">
        <v>294</v>
      </c>
      <c r="W102" s="204" t="s">
        <v>780</v>
      </c>
      <c r="Z102" s="204" t="s">
        <v>369</v>
      </c>
      <c r="AA102" s="204" t="s">
        <v>704</v>
      </c>
      <c r="AB102" s="204" t="s">
        <v>1450</v>
      </c>
      <c r="AC102" s="204" t="s">
        <v>1278</v>
      </c>
      <c r="AD102" s="204" t="s">
        <v>384</v>
      </c>
      <c r="AE102" s="353">
        <v>3228</v>
      </c>
      <c r="AF102" s="353">
        <v>29382</v>
      </c>
      <c r="AG102" s="353">
        <v>0</v>
      </c>
      <c r="AH102" s="204" t="s">
        <v>423</v>
      </c>
      <c r="AI102" s="353">
        <v>1</v>
      </c>
      <c r="AJ102" s="353">
        <v>1</v>
      </c>
      <c r="AK102" s="353">
        <v>6</v>
      </c>
      <c r="AL102" s="353">
        <v>4</v>
      </c>
      <c r="AM102" s="353">
        <v>12</v>
      </c>
      <c r="AN102" s="204" t="s">
        <v>186</v>
      </c>
      <c r="AO102" s="204" t="s">
        <v>1248</v>
      </c>
      <c r="AP102" s="204" t="s">
        <v>1248</v>
      </c>
      <c r="AQ102" s="353">
        <v>0</v>
      </c>
      <c r="AR102" s="204" t="s">
        <v>1248</v>
      </c>
      <c r="AS102" s="204" t="s">
        <v>1248</v>
      </c>
      <c r="AT102" s="204" t="s">
        <v>1248</v>
      </c>
      <c r="AU102" s="204" t="s">
        <v>1248</v>
      </c>
      <c r="AV102" s="204" t="s">
        <v>771</v>
      </c>
      <c r="AW102" s="204" t="s">
        <v>1248</v>
      </c>
      <c r="AX102" s="204" t="s">
        <v>1253</v>
      </c>
      <c r="AZ102" s="204" t="s">
        <v>1248</v>
      </c>
      <c r="BB102" s="204" t="s">
        <v>802</v>
      </c>
      <c r="BC102" s="353">
        <v>5000</v>
      </c>
      <c r="BD102" s="353">
        <v>2452</v>
      </c>
      <c r="BE102" s="204" t="s">
        <v>723</v>
      </c>
      <c r="BF102" s="353">
        <v>0</v>
      </c>
      <c r="BG102" s="204" t="s">
        <v>1248</v>
      </c>
      <c r="BH102" s="204" t="s">
        <v>1248</v>
      </c>
      <c r="BI102" s="204" t="s">
        <v>723</v>
      </c>
      <c r="BK102" s="353">
        <v>0</v>
      </c>
      <c r="BL102" s="353">
        <v>0</v>
      </c>
      <c r="BM102" s="353">
        <v>0</v>
      </c>
      <c r="BN102" s="353">
        <v>0</v>
      </c>
      <c r="BO102" s="353">
        <v>0</v>
      </c>
      <c r="BP102" s="353">
        <v>0</v>
      </c>
      <c r="BQ102" s="353">
        <v>0</v>
      </c>
      <c r="BT102" s="353">
        <v>0</v>
      </c>
      <c r="BU102" s="353">
        <v>0</v>
      </c>
      <c r="CA102" s="353">
        <v>0</v>
      </c>
      <c r="CB102" s="353">
        <v>299.160338803</v>
      </c>
      <c r="CC102" s="204" t="s">
        <v>425</v>
      </c>
      <c r="CD102" s="204" t="s">
        <v>300</v>
      </c>
      <c r="CE102" s="204" t="s">
        <v>301</v>
      </c>
      <c r="CF102" s="204" t="s">
        <v>1432</v>
      </c>
      <c r="CG102" s="204" t="s">
        <v>1256</v>
      </c>
      <c r="CH102" s="204" t="s">
        <v>1298</v>
      </c>
      <c r="CI102" s="204" t="s">
        <v>351</v>
      </c>
      <c r="CJ102" s="204" t="s">
        <v>678</v>
      </c>
      <c r="CK102" s="353">
        <v>-9999</v>
      </c>
      <c r="CM102" s="353">
        <v>-9999</v>
      </c>
      <c r="CO102" s="353">
        <v>-9999</v>
      </c>
      <c r="CS102" s="353">
        <v>-9999</v>
      </c>
      <c r="CT102" s="353">
        <v>-9999</v>
      </c>
      <c r="CV102" s="204" t="s">
        <v>1265</v>
      </c>
      <c r="CW102" s="353">
        <v>7.7347575567799994E-5</v>
      </c>
      <c r="CX102" s="204">
        <v>992</v>
      </c>
      <c r="CY102" s="204">
        <v>3922</v>
      </c>
      <c r="CZ102" s="204">
        <v>8712</v>
      </c>
      <c r="DA102" s="204">
        <v>6</v>
      </c>
      <c r="DB102" s="353">
        <v>6.7320000002299998E-2</v>
      </c>
      <c r="DC102" s="353">
        <v>1.76276250001E-5</v>
      </c>
      <c r="DD102" s="204">
        <v>10</v>
      </c>
      <c r="DE102" s="353">
        <v>0</v>
      </c>
      <c r="DF102" s="353">
        <v>0</v>
      </c>
      <c r="DG102" s="353">
        <v>5.8646597371000003E-2</v>
      </c>
      <c r="DH102" s="353">
        <v>4944.9498942099999</v>
      </c>
    </row>
    <row r="103" spans="1:112">
      <c r="A103" s="204">
        <v>993</v>
      </c>
      <c r="B103" s="204">
        <v>1</v>
      </c>
      <c r="C103" s="204">
        <v>16261</v>
      </c>
      <c r="D103" s="204">
        <v>0</v>
      </c>
      <c r="E103" s="204">
        <v>993</v>
      </c>
      <c r="F103" s="204">
        <v>1</v>
      </c>
      <c r="G103" s="204">
        <v>993</v>
      </c>
      <c r="H103" s="204" t="s">
        <v>790</v>
      </c>
      <c r="I103" s="354">
        <v>37462</v>
      </c>
      <c r="J103" s="204" t="s">
        <v>790</v>
      </c>
      <c r="K103" s="204" t="s">
        <v>1442</v>
      </c>
      <c r="L103" s="204" t="s">
        <v>1288</v>
      </c>
      <c r="M103" s="204" t="s">
        <v>791</v>
      </c>
      <c r="N103" s="353">
        <v>100</v>
      </c>
      <c r="O103" s="204" t="s">
        <v>1451</v>
      </c>
      <c r="P103" s="204" t="s">
        <v>792</v>
      </c>
      <c r="R103" s="204" t="s">
        <v>1248</v>
      </c>
      <c r="S103" s="353">
        <v>0</v>
      </c>
      <c r="T103" s="204" t="s">
        <v>775</v>
      </c>
      <c r="U103" s="204" t="s">
        <v>294</v>
      </c>
      <c r="W103" s="204" t="s">
        <v>793</v>
      </c>
      <c r="Z103" s="204" t="s">
        <v>369</v>
      </c>
      <c r="AA103" s="204" t="s">
        <v>704</v>
      </c>
      <c r="AB103" s="204" t="s">
        <v>1450</v>
      </c>
      <c r="AC103" s="204" t="s">
        <v>1278</v>
      </c>
      <c r="AD103" s="204" t="s">
        <v>384</v>
      </c>
      <c r="AE103" s="353">
        <v>15793</v>
      </c>
      <c r="AF103" s="353">
        <v>63178</v>
      </c>
      <c r="AG103" s="353">
        <v>0</v>
      </c>
      <c r="AH103" s="204" t="s">
        <v>423</v>
      </c>
      <c r="AI103" s="353">
        <v>1</v>
      </c>
      <c r="AJ103" s="353">
        <v>1</v>
      </c>
      <c r="AK103" s="353">
        <v>4</v>
      </c>
      <c r="AL103" s="353">
        <v>2</v>
      </c>
      <c r="AM103" s="353">
        <v>8</v>
      </c>
      <c r="AN103" s="204" t="s">
        <v>186</v>
      </c>
      <c r="AO103" s="204" t="s">
        <v>1248</v>
      </c>
      <c r="AP103" s="204" t="s">
        <v>1248</v>
      </c>
      <c r="AQ103" s="353">
        <v>0</v>
      </c>
      <c r="AR103" s="204" t="s">
        <v>1248</v>
      </c>
      <c r="AS103" s="204" t="s">
        <v>1415</v>
      </c>
      <c r="AT103" s="204" t="s">
        <v>1248</v>
      </c>
      <c r="AU103" s="204" t="s">
        <v>1248</v>
      </c>
      <c r="AV103" s="204" t="s">
        <v>437</v>
      </c>
      <c r="AW103" s="204" t="s">
        <v>1248</v>
      </c>
      <c r="AX103" s="204" t="s">
        <v>1253</v>
      </c>
      <c r="AY103" s="204" t="s">
        <v>1248</v>
      </c>
      <c r="AZ103" s="204" t="s">
        <v>1248</v>
      </c>
      <c r="BA103" s="204" t="s">
        <v>1248</v>
      </c>
      <c r="BB103" s="204" t="s">
        <v>437</v>
      </c>
      <c r="BC103" s="353">
        <v>5000</v>
      </c>
      <c r="BD103" s="353">
        <v>1890</v>
      </c>
      <c r="BE103" s="204" t="s">
        <v>723</v>
      </c>
      <c r="BF103" s="353">
        <v>0</v>
      </c>
      <c r="BG103" s="204" t="s">
        <v>1248</v>
      </c>
      <c r="BH103" s="204" t="s">
        <v>1248</v>
      </c>
      <c r="BI103" s="204" t="s">
        <v>723</v>
      </c>
      <c r="BK103" s="353">
        <v>0</v>
      </c>
      <c r="BL103" s="353">
        <v>0</v>
      </c>
      <c r="BM103" s="353">
        <v>0</v>
      </c>
      <c r="BN103" s="353">
        <v>0</v>
      </c>
      <c r="BO103" s="353">
        <v>0</v>
      </c>
      <c r="BP103" s="353">
        <v>0</v>
      </c>
      <c r="BQ103" s="353">
        <v>0</v>
      </c>
      <c r="BT103" s="353">
        <v>0</v>
      </c>
      <c r="BU103" s="353">
        <v>0</v>
      </c>
      <c r="CA103" s="353">
        <v>0</v>
      </c>
      <c r="CB103" s="353">
        <v>300.41826031599999</v>
      </c>
      <c r="CC103" s="204" t="s">
        <v>425</v>
      </c>
      <c r="CD103" s="204" t="s">
        <v>300</v>
      </c>
      <c r="CE103" s="204" t="s">
        <v>301</v>
      </c>
      <c r="CF103" s="204" t="s">
        <v>1432</v>
      </c>
      <c r="CG103" s="204" t="s">
        <v>1256</v>
      </c>
      <c r="CH103" s="204" t="s">
        <v>1298</v>
      </c>
      <c r="CI103" s="204" t="s">
        <v>351</v>
      </c>
      <c r="CJ103" s="204" t="s">
        <v>678</v>
      </c>
      <c r="CK103" s="353">
        <v>-9999</v>
      </c>
      <c r="CM103" s="353">
        <v>-9999</v>
      </c>
      <c r="CO103" s="353">
        <v>-9999</v>
      </c>
      <c r="CS103" s="353">
        <v>-9999</v>
      </c>
      <c r="CT103" s="353">
        <v>-9999</v>
      </c>
      <c r="CV103" s="204" t="s">
        <v>1265</v>
      </c>
      <c r="CW103" s="353">
        <v>7.7347575567799994E-5</v>
      </c>
      <c r="CX103" s="204">
        <v>993</v>
      </c>
      <c r="CY103" s="204">
        <v>3922</v>
      </c>
      <c r="CZ103" s="204">
        <v>8712</v>
      </c>
      <c r="DA103" s="204">
        <v>6</v>
      </c>
      <c r="DB103" s="353">
        <v>6.7320000002299998E-2</v>
      </c>
      <c r="DC103" s="353">
        <v>1.76276250001E-5</v>
      </c>
      <c r="DD103" s="204">
        <v>10</v>
      </c>
      <c r="DE103" s="353">
        <v>0</v>
      </c>
      <c r="DF103" s="353">
        <v>0</v>
      </c>
      <c r="DG103" s="353">
        <v>5.8646597371000003E-2</v>
      </c>
      <c r="DH103" s="353">
        <v>5020.6297845400004</v>
      </c>
    </row>
    <row r="104" spans="1:112">
      <c r="A104" s="204">
        <v>994</v>
      </c>
      <c r="B104" s="204">
        <v>1</v>
      </c>
      <c r="C104" s="204">
        <v>16262</v>
      </c>
      <c r="D104" s="204">
        <v>0</v>
      </c>
      <c r="E104" s="204">
        <v>994</v>
      </c>
      <c r="F104" s="204">
        <v>1</v>
      </c>
      <c r="G104" s="204">
        <v>994</v>
      </c>
      <c r="H104" s="204" t="s">
        <v>794</v>
      </c>
      <c r="I104" s="354">
        <v>37462</v>
      </c>
      <c r="J104" s="204" t="s">
        <v>794</v>
      </c>
      <c r="K104" s="204" t="s">
        <v>1442</v>
      </c>
      <c r="L104" s="204" t="s">
        <v>1288</v>
      </c>
      <c r="M104" s="204" t="s">
        <v>795</v>
      </c>
      <c r="N104" s="353">
        <v>100</v>
      </c>
      <c r="P104" s="204" t="s">
        <v>796</v>
      </c>
      <c r="R104" s="204" t="s">
        <v>1248</v>
      </c>
      <c r="S104" s="353">
        <v>0</v>
      </c>
      <c r="T104" s="204" t="s">
        <v>789</v>
      </c>
      <c r="U104" s="204" t="s">
        <v>294</v>
      </c>
      <c r="W104" s="204" t="s">
        <v>797</v>
      </c>
      <c r="Z104" s="204" t="s">
        <v>369</v>
      </c>
      <c r="AA104" s="204" t="s">
        <v>704</v>
      </c>
      <c r="AB104" s="204" t="s">
        <v>1450</v>
      </c>
      <c r="AC104" s="204" t="s">
        <v>1278</v>
      </c>
      <c r="AD104" s="204" t="s">
        <v>384</v>
      </c>
      <c r="AE104" s="353">
        <v>11951</v>
      </c>
      <c r="AF104" s="353">
        <v>147469</v>
      </c>
      <c r="AG104" s="353">
        <v>0</v>
      </c>
      <c r="AH104" s="204" t="s">
        <v>423</v>
      </c>
      <c r="AI104" s="353">
        <v>1</v>
      </c>
      <c r="AJ104" s="353">
        <v>1</v>
      </c>
      <c r="AK104" s="353">
        <v>6</v>
      </c>
      <c r="AL104" s="353">
        <v>4</v>
      </c>
      <c r="AM104" s="353">
        <v>12</v>
      </c>
      <c r="AN104" s="204" t="s">
        <v>1281</v>
      </c>
      <c r="AO104" s="204" t="s">
        <v>1248</v>
      </c>
      <c r="AP104" s="204" t="s">
        <v>1248</v>
      </c>
      <c r="AQ104" s="353">
        <v>0</v>
      </c>
      <c r="AR104" s="204" t="s">
        <v>1248</v>
      </c>
      <c r="AS104" s="204" t="s">
        <v>1248</v>
      </c>
      <c r="AT104" s="204" t="s">
        <v>1282</v>
      </c>
      <c r="AU104" s="204" t="s">
        <v>1248</v>
      </c>
      <c r="AV104" s="204" t="s">
        <v>798</v>
      </c>
      <c r="AW104" s="204" t="s">
        <v>1248</v>
      </c>
      <c r="AX104" s="204" t="s">
        <v>1253</v>
      </c>
      <c r="AY104" s="204" t="s">
        <v>1248</v>
      </c>
      <c r="AZ104" s="204" t="s">
        <v>1248</v>
      </c>
      <c r="BA104" s="204" t="s">
        <v>1248</v>
      </c>
      <c r="BB104" s="204" t="s">
        <v>798</v>
      </c>
      <c r="BC104" s="353">
        <v>5000</v>
      </c>
      <c r="BD104" s="353">
        <v>1834</v>
      </c>
      <c r="BE104" s="204" t="s">
        <v>723</v>
      </c>
      <c r="BF104" s="353">
        <v>0</v>
      </c>
      <c r="BG104" s="204" t="s">
        <v>1248</v>
      </c>
      <c r="BH104" s="204" t="s">
        <v>1248</v>
      </c>
      <c r="BI104" s="204" t="s">
        <v>723</v>
      </c>
      <c r="BK104" s="353">
        <v>0</v>
      </c>
      <c r="BL104" s="353">
        <v>0</v>
      </c>
      <c r="BM104" s="353">
        <v>0</v>
      </c>
      <c r="BN104" s="353">
        <v>0</v>
      </c>
      <c r="BO104" s="353">
        <v>0</v>
      </c>
      <c r="BP104" s="353">
        <v>0</v>
      </c>
      <c r="BQ104" s="353">
        <v>0</v>
      </c>
      <c r="BT104" s="353">
        <v>0</v>
      </c>
      <c r="BU104" s="353">
        <v>0</v>
      </c>
      <c r="CA104" s="353">
        <v>0</v>
      </c>
      <c r="CB104" s="353">
        <v>299.67325228599998</v>
      </c>
      <c r="CC104" s="204" t="s">
        <v>425</v>
      </c>
      <c r="CD104" s="204" t="s">
        <v>300</v>
      </c>
      <c r="CE104" s="204" t="s">
        <v>301</v>
      </c>
      <c r="CF104" s="204" t="s">
        <v>1432</v>
      </c>
      <c r="CG104" s="204" t="s">
        <v>1256</v>
      </c>
      <c r="CH104" s="204" t="s">
        <v>1298</v>
      </c>
      <c r="CI104" s="204" t="s">
        <v>351</v>
      </c>
      <c r="CJ104" s="204" t="s">
        <v>678</v>
      </c>
      <c r="CK104" s="353">
        <v>-9999</v>
      </c>
      <c r="CM104" s="353">
        <v>-9999</v>
      </c>
      <c r="CO104" s="353">
        <v>-9999</v>
      </c>
      <c r="CS104" s="353">
        <v>-9999</v>
      </c>
      <c r="CT104" s="353">
        <v>-9999</v>
      </c>
      <c r="CV104" s="204" t="s">
        <v>1265</v>
      </c>
      <c r="CW104" s="353">
        <v>7.7347575567799994E-5</v>
      </c>
      <c r="CX104" s="204">
        <v>994</v>
      </c>
      <c r="CY104" s="204">
        <v>3922</v>
      </c>
      <c r="CZ104" s="204">
        <v>8712</v>
      </c>
      <c r="DA104" s="204">
        <v>6</v>
      </c>
      <c r="DB104" s="353">
        <v>6.7320000002299998E-2</v>
      </c>
      <c r="DC104" s="353">
        <v>1.76276250001E-5</v>
      </c>
      <c r="DD104" s="204">
        <v>10</v>
      </c>
      <c r="DE104" s="353">
        <v>0</v>
      </c>
      <c r="DF104" s="353">
        <v>0</v>
      </c>
      <c r="DG104" s="353">
        <v>5.8646597371000003E-2</v>
      </c>
      <c r="DH104" s="353">
        <v>4986.9545325400004</v>
      </c>
    </row>
    <row r="105" spans="1:112">
      <c r="A105" s="204">
        <v>997</v>
      </c>
      <c r="B105" s="204">
        <v>1</v>
      </c>
      <c r="C105" s="204">
        <v>16272</v>
      </c>
      <c r="D105" s="204">
        <v>0</v>
      </c>
      <c r="E105" s="204">
        <v>997</v>
      </c>
      <c r="F105" s="204">
        <v>1</v>
      </c>
      <c r="G105" s="204">
        <v>997</v>
      </c>
      <c r="H105" s="204" t="s">
        <v>799</v>
      </c>
      <c r="I105" s="354">
        <v>37462</v>
      </c>
      <c r="J105" s="204" t="s">
        <v>799</v>
      </c>
      <c r="K105" s="204" t="s">
        <v>1442</v>
      </c>
      <c r="L105" s="204" t="s">
        <v>1288</v>
      </c>
      <c r="M105" s="204" t="s">
        <v>800</v>
      </c>
      <c r="N105" s="353">
        <v>100</v>
      </c>
      <c r="P105" s="204" t="s">
        <v>801</v>
      </c>
      <c r="R105" s="204" t="s">
        <v>1248</v>
      </c>
      <c r="S105" s="353">
        <v>0</v>
      </c>
      <c r="T105" s="204" t="s">
        <v>644</v>
      </c>
      <c r="U105" s="204" t="s">
        <v>307</v>
      </c>
      <c r="Z105" s="204" t="s">
        <v>369</v>
      </c>
      <c r="AA105" s="204" t="s">
        <v>704</v>
      </c>
      <c r="AC105" s="204" t="s">
        <v>1278</v>
      </c>
      <c r="AD105" s="204" t="s">
        <v>384</v>
      </c>
      <c r="AE105" s="353">
        <v>5527</v>
      </c>
      <c r="AF105" s="353">
        <v>25897</v>
      </c>
      <c r="AG105" s="353">
        <v>0</v>
      </c>
      <c r="AH105" s="204" t="s">
        <v>423</v>
      </c>
      <c r="AI105" s="353">
        <v>1</v>
      </c>
      <c r="AJ105" s="353">
        <v>1</v>
      </c>
      <c r="AK105" s="353">
        <v>4</v>
      </c>
      <c r="AL105" s="353">
        <v>2</v>
      </c>
      <c r="AM105" s="353">
        <v>8</v>
      </c>
      <c r="AN105" s="204" t="s">
        <v>186</v>
      </c>
      <c r="AO105" s="204" t="s">
        <v>1261</v>
      </c>
      <c r="AP105" s="204" t="s">
        <v>1248</v>
      </c>
      <c r="AQ105" s="353">
        <v>4</v>
      </c>
      <c r="AR105" s="204" t="s">
        <v>1296</v>
      </c>
      <c r="AS105" s="204" t="s">
        <v>1248</v>
      </c>
      <c r="AT105" s="204" t="s">
        <v>1248</v>
      </c>
      <c r="AU105" s="204" t="s">
        <v>1248</v>
      </c>
      <c r="AV105" s="204" t="s">
        <v>802</v>
      </c>
      <c r="AW105" s="204" t="s">
        <v>1248</v>
      </c>
      <c r="AX105" s="204" t="s">
        <v>1253</v>
      </c>
      <c r="AZ105" s="204" t="s">
        <v>1248</v>
      </c>
      <c r="BB105" s="204" t="s">
        <v>883</v>
      </c>
      <c r="BC105" s="353">
        <v>5000</v>
      </c>
      <c r="BD105" s="353">
        <v>1410</v>
      </c>
      <c r="BE105" s="204" t="s">
        <v>723</v>
      </c>
      <c r="BF105" s="353">
        <v>0</v>
      </c>
      <c r="BG105" s="204" t="s">
        <v>1248</v>
      </c>
      <c r="BH105" s="204" t="s">
        <v>1248</v>
      </c>
      <c r="BI105" s="204" t="s">
        <v>723</v>
      </c>
      <c r="BK105" s="353">
        <v>0</v>
      </c>
      <c r="BL105" s="353">
        <v>0</v>
      </c>
      <c r="BM105" s="353">
        <v>0</v>
      </c>
      <c r="BN105" s="353">
        <v>0</v>
      </c>
      <c r="BO105" s="353">
        <v>0</v>
      </c>
      <c r="BP105" s="353">
        <v>0</v>
      </c>
      <c r="BQ105" s="353">
        <v>0</v>
      </c>
      <c r="BT105" s="353">
        <v>0</v>
      </c>
      <c r="BU105" s="353">
        <v>0</v>
      </c>
      <c r="CA105" s="353">
        <v>0</v>
      </c>
      <c r="CB105" s="353">
        <v>298.83156464500001</v>
      </c>
      <c r="CC105" s="204" t="s">
        <v>425</v>
      </c>
      <c r="CD105" s="204" t="s">
        <v>300</v>
      </c>
      <c r="CE105" s="204" t="s">
        <v>301</v>
      </c>
      <c r="CF105" s="204" t="s">
        <v>1432</v>
      </c>
      <c r="CG105" s="204" t="s">
        <v>1256</v>
      </c>
      <c r="CH105" s="204" t="s">
        <v>1298</v>
      </c>
      <c r="CI105" s="204" t="s">
        <v>351</v>
      </c>
      <c r="CJ105" s="204" t="s">
        <v>678</v>
      </c>
      <c r="CK105" s="353">
        <v>-9999</v>
      </c>
      <c r="CM105" s="353">
        <v>-9999</v>
      </c>
      <c r="CO105" s="353">
        <v>-9999</v>
      </c>
      <c r="CS105" s="353">
        <v>-9999</v>
      </c>
      <c r="CT105" s="353">
        <v>-9999</v>
      </c>
      <c r="CV105" s="204" t="s">
        <v>1265</v>
      </c>
      <c r="CW105" s="353">
        <v>7.7347575567799994E-5</v>
      </c>
      <c r="CX105" s="204">
        <v>997</v>
      </c>
      <c r="CY105" s="204">
        <v>3863</v>
      </c>
      <c r="CZ105" s="204">
        <v>8712</v>
      </c>
      <c r="DA105" s="204">
        <v>6</v>
      </c>
      <c r="DB105" s="353">
        <v>6.3000000011500005E-4</v>
      </c>
      <c r="DC105" s="353">
        <v>1.41750000026E-8</v>
      </c>
      <c r="DD105" s="204">
        <v>10</v>
      </c>
      <c r="DE105" s="353">
        <v>0</v>
      </c>
      <c r="DF105" s="353">
        <v>0</v>
      </c>
      <c r="DG105" s="353">
        <v>5.8646597371000003E-2</v>
      </c>
      <c r="DH105" s="353">
        <v>5010.72463444</v>
      </c>
    </row>
    <row r="106" spans="1:112">
      <c r="A106" s="204">
        <v>1002</v>
      </c>
      <c r="B106" s="204">
        <v>1</v>
      </c>
      <c r="C106" s="204">
        <v>16430</v>
      </c>
      <c r="D106" s="204">
        <v>0</v>
      </c>
      <c r="E106" s="204">
        <v>1002</v>
      </c>
      <c r="F106" s="204">
        <v>0</v>
      </c>
      <c r="G106" s="204">
        <v>1002</v>
      </c>
      <c r="H106" s="204" t="s">
        <v>402</v>
      </c>
      <c r="I106" s="354">
        <v>37462</v>
      </c>
      <c r="J106" s="204" t="s">
        <v>402</v>
      </c>
      <c r="K106" s="204" t="s">
        <v>1452</v>
      </c>
      <c r="L106" s="204" t="s">
        <v>1266</v>
      </c>
      <c r="M106" s="204" t="s">
        <v>403</v>
      </c>
      <c r="N106" s="353">
        <v>100</v>
      </c>
      <c r="P106" s="204" t="s">
        <v>404</v>
      </c>
      <c r="R106" s="204" t="s">
        <v>1248</v>
      </c>
      <c r="S106" s="353">
        <v>0.67</v>
      </c>
      <c r="T106" s="204" t="s">
        <v>405</v>
      </c>
      <c r="U106" s="204" t="s">
        <v>406</v>
      </c>
      <c r="W106" s="204" t="s">
        <v>407</v>
      </c>
      <c r="Z106" s="204" t="s">
        <v>408</v>
      </c>
      <c r="AA106" s="204" t="s">
        <v>409</v>
      </c>
      <c r="AB106" s="204" t="s">
        <v>1453</v>
      </c>
      <c r="AC106" s="204" t="s">
        <v>357</v>
      </c>
      <c r="AD106" s="204" t="s">
        <v>1251</v>
      </c>
      <c r="AE106" s="353">
        <v>934900</v>
      </c>
      <c r="AF106" s="353">
        <v>1870100</v>
      </c>
      <c r="AG106" s="353">
        <v>0</v>
      </c>
      <c r="AH106" s="204" t="s">
        <v>298</v>
      </c>
      <c r="AI106" s="353">
        <v>1</v>
      </c>
      <c r="AJ106" s="353">
        <v>1</v>
      </c>
      <c r="AK106" s="353">
        <v>0</v>
      </c>
      <c r="AL106" s="353">
        <v>0</v>
      </c>
      <c r="AM106" s="353">
        <v>0</v>
      </c>
      <c r="AQ106" s="353">
        <v>0</v>
      </c>
      <c r="BC106" s="353">
        <v>0</v>
      </c>
      <c r="BD106" s="353">
        <v>0</v>
      </c>
      <c r="BF106" s="353">
        <v>0</v>
      </c>
      <c r="BG106" s="204" t="s">
        <v>1248</v>
      </c>
      <c r="BH106" s="204" t="s">
        <v>1248</v>
      </c>
      <c r="BJ106" s="204" t="s">
        <v>1270</v>
      </c>
      <c r="BK106" s="353">
        <v>35417</v>
      </c>
      <c r="BL106" s="353">
        <v>3</v>
      </c>
      <c r="BM106" s="353">
        <v>36</v>
      </c>
      <c r="BN106" s="353">
        <v>21</v>
      </c>
      <c r="BO106" s="353">
        <v>15</v>
      </c>
      <c r="BP106" s="353">
        <v>0</v>
      </c>
      <c r="BQ106" s="353">
        <v>984</v>
      </c>
      <c r="BR106" s="204" t="s">
        <v>1248</v>
      </c>
      <c r="BS106" s="204" t="s">
        <v>1248</v>
      </c>
      <c r="BT106" s="353">
        <v>0</v>
      </c>
      <c r="BU106" s="353">
        <v>29200</v>
      </c>
      <c r="BV106" s="204" t="s">
        <v>1248</v>
      </c>
      <c r="BW106" s="204" t="s">
        <v>1253</v>
      </c>
      <c r="BX106" s="204" t="s">
        <v>1248</v>
      </c>
      <c r="BY106" s="204" t="s">
        <v>1248</v>
      </c>
      <c r="BZ106" s="204" t="s">
        <v>469</v>
      </c>
      <c r="CA106" s="353">
        <v>35417</v>
      </c>
      <c r="CB106" s="353">
        <v>764.00516268399997</v>
      </c>
      <c r="CC106" s="204" t="s">
        <v>410</v>
      </c>
      <c r="CD106" s="204" t="s">
        <v>300</v>
      </c>
      <c r="CE106" s="204" t="s">
        <v>301</v>
      </c>
      <c r="CF106" s="204" t="s">
        <v>1278</v>
      </c>
      <c r="CG106" s="204" t="s">
        <v>1256</v>
      </c>
      <c r="CH106" s="204" t="s">
        <v>195</v>
      </c>
      <c r="CJ106" s="204" t="s">
        <v>302</v>
      </c>
      <c r="CK106" s="353">
        <v>-9999</v>
      </c>
      <c r="CM106" s="353">
        <v>-9999</v>
      </c>
      <c r="CO106" s="353">
        <v>-9999</v>
      </c>
      <c r="CS106" s="353">
        <v>-9999</v>
      </c>
      <c r="CT106" s="353">
        <v>-9999</v>
      </c>
      <c r="CV106" s="204" t="s">
        <v>1265</v>
      </c>
      <c r="CW106" s="353">
        <v>3.1129396322299997E-5</v>
      </c>
      <c r="CX106" s="204">
        <v>1002</v>
      </c>
      <c r="CY106" s="204">
        <v>0</v>
      </c>
      <c r="CZ106" s="204">
        <v>0</v>
      </c>
      <c r="DA106" s="204">
        <v>10</v>
      </c>
      <c r="DB106" s="353">
        <v>0</v>
      </c>
      <c r="DC106" s="353">
        <v>0</v>
      </c>
      <c r="DD106" s="204">
        <v>10</v>
      </c>
      <c r="DE106" s="353">
        <v>0</v>
      </c>
      <c r="DF106" s="353">
        <v>0</v>
      </c>
      <c r="DG106" s="353">
        <v>8.6295110015499998E-2</v>
      </c>
      <c r="DH106" s="353">
        <v>27764.8855411</v>
      </c>
    </row>
    <row r="107" spans="1:112">
      <c r="A107" s="204">
        <v>1003</v>
      </c>
      <c r="B107" s="204">
        <v>2</v>
      </c>
      <c r="C107" s="204">
        <v>16432</v>
      </c>
      <c r="D107" s="204">
        <v>0</v>
      </c>
      <c r="E107" s="204">
        <v>1003</v>
      </c>
      <c r="F107" s="204">
        <v>0</v>
      </c>
      <c r="G107" s="204">
        <v>1003</v>
      </c>
      <c r="H107" s="204" t="s">
        <v>411</v>
      </c>
      <c r="I107" s="354">
        <v>37462</v>
      </c>
      <c r="J107" s="204" t="s">
        <v>411</v>
      </c>
      <c r="K107" s="204" t="s">
        <v>1454</v>
      </c>
      <c r="L107" s="204" t="s">
        <v>1281</v>
      </c>
      <c r="M107" s="204" t="s">
        <v>412</v>
      </c>
      <c r="N107" s="353">
        <v>100</v>
      </c>
      <c r="O107" s="204" t="s">
        <v>1455</v>
      </c>
      <c r="P107" s="204" t="s">
        <v>413</v>
      </c>
      <c r="R107" s="204" t="s">
        <v>1248</v>
      </c>
      <c r="S107" s="353">
        <v>2.98</v>
      </c>
      <c r="T107" s="204" t="s">
        <v>405</v>
      </c>
      <c r="U107" s="204" t="s">
        <v>406</v>
      </c>
      <c r="W107" s="204" t="s">
        <v>414</v>
      </c>
      <c r="Z107" s="204" t="s">
        <v>408</v>
      </c>
      <c r="AA107" s="204" t="s">
        <v>409</v>
      </c>
      <c r="AC107" s="204" t="s">
        <v>1456</v>
      </c>
      <c r="AD107" s="204" t="s">
        <v>1251</v>
      </c>
      <c r="AE107" s="353">
        <v>2904828</v>
      </c>
      <c r="AF107" s="353">
        <v>5809656</v>
      </c>
      <c r="AG107" s="353">
        <v>0</v>
      </c>
      <c r="AH107" s="204" t="s">
        <v>298</v>
      </c>
      <c r="AI107" s="353">
        <v>1</v>
      </c>
      <c r="AJ107" s="353">
        <v>1</v>
      </c>
      <c r="AK107" s="353">
        <v>0</v>
      </c>
      <c r="AL107" s="353">
        <v>0</v>
      </c>
      <c r="AM107" s="353">
        <v>0</v>
      </c>
      <c r="AQ107" s="353">
        <v>0</v>
      </c>
      <c r="BC107" s="353">
        <v>0</v>
      </c>
      <c r="BD107" s="353">
        <v>0</v>
      </c>
      <c r="BF107" s="353">
        <v>0</v>
      </c>
      <c r="BG107" s="204" t="s">
        <v>1248</v>
      </c>
      <c r="BH107" s="204" t="s">
        <v>1248</v>
      </c>
      <c r="BJ107" s="204" t="s">
        <v>1260</v>
      </c>
      <c r="BK107" s="353">
        <v>87003</v>
      </c>
      <c r="BL107" s="353">
        <v>3</v>
      </c>
      <c r="BM107" s="353">
        <v>84</v>
      </c>
      <c r="BN107" s="353">
        <v>0</v>
      </c>
      <c r="BO107" s="353">
        <v>54</v>
      </c>
      <c r="BP107" s="353">
        <v>30</v>
      </c>
      <c r="BQ107" s="353">
        <v>1036</v>
      </c>
      <c r="BR107" s="204" t="s">
        <v>1248</v>
      </c>
      <c r="BS107" s="204" t="s">
        <v>1271</v>
      </c>
      <c r="BT107" s="353">
        <v>84</v>
      </c>
      <c r="BU107" s="353">
        <v>129809</v>
      </c>
      <c r="BV107" s="204" t="s">
        <v>1248</v>
      </c>
      <c r="BW107" s="204" t="s">
        <v>1253</v>
      </c>
      <c r="BX107" s="204" t="s">
        <v>1248</v>
      </c>
      <c r="BY107" s="204" t="s">
        <v>1248</v>
      </c>
      <c r="BZ107" s="204" t="s">
        <v>1406</v>
      </c>
      <c r="CA107" s="353">
        <v>87003</v>
      </c>
      <c r="CB107" s="353">
        <v>1719.9596558000001</v>
      </c>
      <c r="CC107" s="204" t="s">
        <v>415</v>
      </c>
      <c r="CD107" s="204" t="s">
        <v>300</v>
      </c>
      <c r="CE107" s="204" t="s">
        <v>301</v>
      </c>
      <c r="CF107" s="204" t="s">
        <v>1278</v>
      </c>
      <c r="CG107" s="204" t="s">
        <v>1256</v>
      </c>
      <c r="CH107" s="204" t="s">
        <v>195</v>
      </c>
      <c r="CJ107" s="204" t="s">
        <v>302</v>
      </c>
      <c r="CK107" s="353">
        <v>-9999</v>
      </c>
      <c r="CM107" s="353">
        <v>-9999</v>
      </c>
      <c r="CO107" s="353">
        <v>-9999</v>
      </c>
      <c r="CS107" s="353">
        <v>-9999</v>
      </c>
      <c r="CT107" s="353">
        <v>-9999</v>
      </c>
      <c r="CV107" s="204" t="s">
        <v>1265</v>
      </c>
      <c r="CW107" s="353">
        <v>3.1129396322299997E-5</v>
      </c>
      <c r="CX107" s="204">
        <v>1003</v>
      </c>
      <c r="CY107" s="204">
        <v>0</v>
      </c>
      <c r="CZ107" s="204">
        <v>0</v>
      </c>
      <c r="DA107" s="204">
        <v>10</v>
      </c>
      <c r="DB107" s="353">
        <v>0</v>
      </c>
      <c r="DC107" s="353">
        <v>0</v>
      </c>
      <c r="DD107" s="204">
        <v>10</v>
      </c>
      <c r="DE107" s="353">
        <v>0</v>
      </c>
      <c r="DF107" s="353">
        <v>0</v>
      </c>
      <c r="DG107" s="353">
        <v>8.6295110015499998E-2</v>
      </c>
      <c r="DH107" s="353">
        <v>131659.00747499999</v>
      </c>
    </row>
    <row r="108" spans="1:112">
      <c r="A108" s="204">
        <v>1004</v>
      </c>
      <c r="B108" s="204">
        <v>1</v>
      </c>
      <c r="C108" s="204">
        <v>16441</v>
      </c>
      <c r="D108" s="204">
        <v>0</v>
      </c>
      <c r="E108" s="204">
        <v>1004</v>
      </c>
      <c r="F108" s="204">
        <v>0</v>
      </c>
      <c r="G108" s="204">
        <v>1004</v>
      </c>
      <c r="H108" s="204" t="s">
        <v>557</v>
      </c>
      <c r="I108" s="354">
        <v>37462</v>
      </c>
      <c r="J108" s="204" t="s">
        <v>557</v>
      </c>
      <c r="K108" s="204" t="s">
        <v>1457</v>
      </c>
      <c r="L108" s="204" t="s">
        <v>1271</v>
      </c>
      <c r="M108" s="204" t="s">
        <v>558</v>
      </c>
      <c r="N108" s="353">
        <v>100</v>
      </c>
      <c r="O108" s="204" t="s">
        <v>1458</v>
      </c>
      <c r="P108" s="204" t="s">
        <v>559</v>
      </c>
      <c r="R108" s="204" t="s">
        <v>1248</v>
      </c>
      <c r="S108" s="353">
        <v>0</v>
      </c>
      <c r="T108" s="204" t="s">
        <v>560</v>
      </c>
      <c r="U108" s="204" t="s">
        <v>307</v>
      </c>
      <c r="W108" s="204" t="s">
        <v>477</v>
      </c>
      <c r="Z108" s="204" t="s">
        <v>408</v>
      </c>
      <c r="AA108" s="204" t="s">
        <v>409</v>
      </c>
      <c r="AB108" s="204" t="s">
        <v>1459</v>
      </c>
      <c r="AC108" s="204" t="s">
        <v>1250</v>
      </c>
      <c r="AD108" s="204" t="s">
        <v>1251</v>
      </c>
      <c r="AE108" s="353">
        <v>37670</v>
      </c>
      <c r="AF108" s="353">
        <v>529894</v>
      </c>
      <c r="AG108" s="353">
        <v>0</v>
      </c>
      <c r="AH108" s="204" t="s">
        <v>298</v>
      </c>
      <c r="AI108" s="353">
        <v>1</v>
      </c>
      <c r="AJ108" s="353">
        <v>1</v>
      </c>
      <c r="AK108" s="353">
        <v>0</v>
      </c>
      <c r="AL108" s="353">
        <v>0</v>
      </c>
      <c r="AM108" s="353">
        <v>0</v>
      </c>
      <c r="AQ108" s="353">
        <v>0</v>
      </c>
      <c r="BC108" s="353">
        <v>0</v>
      </c>
      <c r="BD108" s="353">
        <v>0</v>
      </c>
      <c r="BF108" s="353">
        <v>0</v>
      </c>
      <c r="BG108" s="204" t="s">
        <v>1248</v>
      </c>
      <c r="BH108" s="204" t="s">
        <v>1248</v>
      </c>
      <c r="BJ108" s="204" t="s">
        <v>1301</v>
      </c>
      <c r="BK108" s="353">
        <v>3472</v>
      </c>
      <c r="BL108" s="353">
        <v>2</v>
      </c>
      <c r="BM108" s="353">
        <v>4</v>
      </c>
      <c r="BN108" s="353">
        <v>0</v>
      </c>
      <c r="BO108" s="353">
        <v>0</v>
      </c>
      <c r="BP108" s="353">
        <v>4</v>
      </c>
      <c r="BQ108" s="353">
        <v>868</v>
      </c>
      <c r="BR108" s="204" t="s">
        <v>1248</v>
      </c>
      <c r="BS108" s="204" t="s">
        <v>1271</v>
      </c>
      <c r="BT108" s="353">
        <v>4</v>
      </c>
      <c r="BU108" s="353">
        <v>5850</v>
      </c>
      <c r="BV108" s="204" t="s">
        <v>1248</v>
      </c>
      <c r="BW108" s="204" t="s">
        <v>1253</v>
      </c>
      <c r="BX108" s="204" t="s">
        <v>1248</v>
      </c>
      <c r="BY108" s="204" t="s">
        <v>1248</v>
      </c>
      <c r="BZ108" s="204" t="s">
        <v>1460</v>
      </c>
      <c r="CA108" s="353">
        <v>3472</v>
      </c>
      <c r="CB108" s="353">
        <v>333.40706981800002</v>
      </c>
      <c r="CC108" s="204" t="s">
        <v>517</v>
      </c>
      <c r="CD108" s="204" t="s">
        <v>300</v>
      </c>
      <c r="CE108" s="204" t="s">
        <v>301</v>
      </c>
      <c r="CF108" s="204" t="s">
        <v>1461</v>
      </c>
      <c r="CG108" s="204" t="s">
        <v>1256</v>
      </c>
      <c r="CH108" s="204" t="s">
        <v>195</v>
      </c>
      <c r="CJ108" s="204" t="s">
        <v>302</v>
      </c>
      <c r="CK108" s="353">
        <v>-9999</v>
      </c>
      <c r="CM108" s="353">
        <v>-9999</v>
      </c>
      <c r="CO108" s="353">
        <v>-9999</v>
      </c>
      <c r="CS108" s="353">
        <v>-9999</v>
      </c>
      <c r="CT108" s="353">
        <v>-9999</v>
      </c>
      <c r="CV108" s="204" t="s">
        <v>1265</v>
      </c>
      <c r="CW108" s="353">
        <v>2.15443946969E-5</v>
      </c>
      <c r="CX108" s="204">
        <v>1004</v>
      </c>
      <c r="CY108" s="204">
        <v>0</v>
      </c>
      <c r="CZ108" s="204">
        <v>0</v>
      </c>
      <c r="DA108" s="204">
        <v>10</v>
      </c>
      <c r="DB108" s="353">
        <v>0</v>
      </c>
      <c r="DC108" s="353">
        <v>0</v>
      </c>
      <c r="DD108" s="204">
        <v>10</v>
      </c>
      <c r="DE108" s="353">
        <v>0</v>
      </c>
      <c r="DF108" s="353">
        <v>0</v>
      </c>
      <c r="DG108" s="353">
        <v>2.9516912245400002E-2</v>
      </c>
      <c r="DH108" s="353">
        <v>5823.4511050900001</v>
      </c>
    </row>
    <row r="109" spans="1:112">
      <c r="A109" s="204">
        <v>1005</v>
      </c>
      <c r="B109" s="204">
        <v>1</v>
      </c>
      <c r="C109" s="204">
        <v>16465</v>
      </c>
      <c r="D109" s="204">
        <v>0</v>
      </c>
      <c r="E109" s="204">
        <v>1005</v>
      </c>
      <c r="F109" s="204">
        <v>0</v>
      </c>
      <c r="G109" s="204">
        <v>1005</v>
      </c>
      <c r="H109" s="204" t="s">
        <v>561</v>
      </c>
      <c r="I109" s="354">
        <v>37462</v>
      </c>
      <c r="J109" s="204" t="s">
        <v>561</v>
      </c>
      <c r="K109" s="204" t="s">
        <v>1457</v>
      </c>
      <c r="L109" s="204" t="s">
        <v>302</v>
      </c>
      <c r="M109" s="204" t="s">
        <v>562</v>
      </c>
      <c r="N109" s="353">
        <v>50</v>
      </c>
      <c r="O109" s="204" t="s">
        <v>1462</v>
      </c>
      <c r="P109" s="204" t="s">
        <v>563</v>
      </c>
      <c r="R109" s="204" t="s">
        <v>1248</v>
      </c>
      <c r="S109" s="353">
        <v>0</v>
      </c>
      <c r="T109" s="204" t="s">
        <v>564</v>
      </c>
      <c r="U109" s="204" t="s">
        <v>294</v>
      </c>
      <c r="W109" s="204" t="s">
        <v>565</v>
      </c>
      <c r="Z109" s="204" t="s">
        <v>408</v>
      </c>
      <c r="AA109" s="204" t="s">
        <v>409</v>
      </c>
      <c r="AB109" s="204" t="s">
        <v>1463</v>
      </c>
      <c r="AC109" s="204" t="s">
        <v>1250</v>
      </c>
      <c r="AD109" s="204" t="s">
        <v>1251</v>
      </c>
      <c r="AE109" s="353">
        <v>51231</v>
      </c>
      <c r="AF109" s="353">
        <v>194679</v>
      </c>
      <c r="AG109" s="353">
        <v>0</v>
      </c>
      <c r="AH109" s="204" t="s">
        <v>298</v>
      </c>
      <c r="AI109" s="353">
        <v>1</v>
      </c>
      <c r="AJ109" s="353">
        <v>1</v>
      </c>
      <c r="AK109" s="353">
        <v>0</v>
      </c>
      <c r="AL109" s="353">
        <v>0</v>
      </c>
      <c r="AM109" s="353">
        <v>0</v>
      </c>
      <c r="AQ109" s="353">
        <v>0</v>
      </c>
      <c r="BC109" s="353">
        <v>0</v>
      </c>
      <c r="BD109" s="353">
        <v>0</v>
      </c>
      <c r="BF109" s="353">
        <v>0</v>
      </c>
      <c r="BG109" s="204" t="s">
        <v>1248</v>
      </c>
      <c r="BH109" s="204" t="s">
        <v>1248</v>
      </c>
      <c r="BJ109" s="204" t="s">
        <v>1301</v>
      </c>
      <c r="BK109" s="353">
        <v>2904</v>
      </c>
      <c r="BL109" s="353">
        <v>2</v>
      </c>
      <c r="BM109" s="353">
        <v>4</v>
      </c>
      <c r="BN109" s="353">
        <v>0</v>
      </c>
      <c r="BO109" s="353">
        <v>4</v>
      </c>
      <c r="BP109" s="353">
        <v>0</v>
      </c>
      <c r="BQ109" s="353">
        <v>726</v>
      </c>
      <c r="BR109" s="204" t="s">
        <v>1248</v>
      </c>
      <c r="BS109" s="204" t="s">
        <v>1271</v>
      </c>
      <c r="BT109" s="353">
        <v>4</v>
      </c>
      <c r="BU109" s="353">
        <v>4790</v>
      </c>
      <c r="BV109" s="204" t="s">
        <v>1248</v>
      </c>
      <c r="BW109" s="204" t="s">
        <v>1253</v>
      </c>
      <c r="BX109" s="204" t="s">
        <v>1248</v>
      </c>
      <c r="BY109" s="204" t="s">
        <v>1248</v>
      </c>
      <c r="BZ109" s="204" t="s">
        <v>1460</v>
      </c>
      <c r="CA109" s="353">
        <v>2904</v>
      </c>
      <c r="CB109" s="353">
        <v>282.24592315400002</v>
      </c>
      <c r="CC109" s="204" t="s">
        <v>517</v>
      </c>
      <c r="CD109" s="204" t="s">
        <v>300</v>
      </c>
      <c r="CE109" s="204" t="s">
        <v>301</v>
      </c>
      <c r="CF109" s="204" t="s">
        <v>1461</v>
      </c>
      <c r="CG109" s="204" t="s">
        <v>1256</v>
      </c>
      <c r="CH109" s="204" t="s">
        <v>195</v>
      </c>
      <c r="CJ109" s="204" t="s">
        <v>302</v>
      </c>
      <c r="CK109" s="353">
        <v>-9999</v>
      </c>
      <c r="CM109" s="353">
        <v>-9999</v>
      </c>
      <c r="CO109" s="353">
        <v>-9999</v>
      </c>
      <c r="CS109" s="353">
        <v>-9999</v>
      </c>
      <c r="CT109" s="353">
        <v>-9999</v>
      </c>
      <c r="CV109" s="204" t="s">
        <v>1265</v>
      </c>
      <c r="CW109" s="353">
        <v>2.15443946969E-5</v>
      </c>
      <c r="CX109" s="204">
        <v>1005</v>
      </c>
      <c r="CY109" s="204">
        <v>0</v>
      </c>
      <c r="CZ109" s="204">
        <v>0</v>
      </c>
      <c r="DA109" s="204">
        <v>10</v>
      </c>
      <c r="DB109" s="353">
        <v>0</v>
      </c>
      <c r="DC109" s="353">
        <v>0</v>
      </c>
      <c r="DD109" s="204">
        <v>10</v>
      </c>
      <c r="DE109" s="353">
        <v>0</v>
      </c>
      <c r="DF109" s="353">
        <v>0</v>
      </c>
      <c r="DG109" s="353">
        <v>2.9516912245400002E-2</v>
      </c>
      <c r="DH109" s="353">
        <v>4795.0162963499997</v>
      </c>
    </row>
    <row r="110" spans="1:112">
      <c r="A110" s="204">
        <v>1006</v>
      </c>
      <c r="B110" s="204">
        <v>1</v>
      </c>
      <c r="C110" s="204">
        <v>16466</v>
      </c>
      <c r="D110" s="204">
        <v>0</v>
      </c>
      <c r="E110" s="204">
        <v>1006</v>
      </c>
      <c r="F110" s="204">
        <v>0</v>
      </c>
      <c r="G110" s="204">
        <v>1006</v>
      </c>
      <c r="H110" s="204" t="s">
        <v>566</v>
      </c>
      <c r="I110" s="354">
        <v>37462</v>
      </c>
      <c r="J110" s="204" t="s">
        <v>566</v>
      </c>
      <c r="K110" s="204" t="s">
        <v>1457</v>
      </c>
      <c r="L110" s="204" t="s">
        <v>1288</v>
      </c>
      <c r="M110" s="204" t="s">
        <v>567</v>
      </c>
      <c r="N110" s="353">
        <v>100</v>
      </c>
      <c r="O110" s="204" t="s">
        <v>1464</v>
      </c>
      <c r="P110" s="204" t="s">
        <v>568</v>
      </c>
      <c r="R110" s="204" t="s">
        <v>1248</v>
      </c>
      <c r="S110" s="353">
        <v>0</v>
      </c>
      <c r="T110" s="204" t="s">
        <v>564</v>
      </c>
      <c r="U110" s="204" t="s">
        <v>569</v>
      </c>
      <c r="W110" s="204" t="s">
        <v>570</v>
      </c>
      <c r="Z110" s="204" t="s">
        <v>408</v>
      </c>
      <c r="AA110" s="204" t="s">
        <v>409</v>
      </c>
      <c r="AB110" s="204" t="s">
        <v>1465</v>
      </c>
      <c r="AC110" s="204" t="s">
        <v>1250</v>
      </c>
      <c r="AD110" s="204" t="s">
        <v>1251</v>
      </c>
      <c r="AE110" s="353">
        <v>56248</v>
      </c>
      <c r="AF110" s="353">
        <v>203390</v>
      </c>
      <c r="AG110" s="353">
        <v>0</v>
      </c>
      <c r="AH110" s="204" t="s">
        <v>298</v>
      </c>
      <c r="AI110" s="353">
        <v>1</v>
      </c>
      <c r="AJ110" s="353">
        <v>1</v>
      </c>
      <c r="AK110" s="353">
        <v>0</v>
      </c>
      <c r="AL110" s="353">
        <v>0</v>
      </c>
      <c r="AM110" s="353">
        <v>0</v>
      </c>
      <c r="AQ110" s="353">
        <v>0</v>
      </c>
      <c r="BC110" s="353">
        <v>0</v>
      </c>
      <c r="BD110" s="353">
        <v>0</v>
      </c>
      <c r="BF110" s="353">
        <v>0</v>
      </c>
      <c r="BG110" s="204" t="s">
        <v>1248</v>
      </c>
      <c r="BH110" s="204" t="s">
        <v>1248</v>
      </c>
      <c r="BJ110" s="204" t="s">
        <v>1301</v>
      </c>
      <c r="BK110" s="353">
        <v>2908</v>
      </c>
      <c r="BL110" s="353">
        <v>2</v>
      </c>
      <c r="BM110" s="353">
        <v>4</v>
      </c>
      <c r="BN110" s="353">
        <v>0</v>
      </c>
      <c r="BO110" s="353">
        <v>4</v>
      </c>
      <c r="BP110" s="353">
        <v>0</v>
      </c>
      <c r="BQ110" s="353">
        <v>726</v>
      </c>
      <c r="BR110" s="204" t="s">
        <v>1248</v>
      </c>
      <c r="BS110" s="204" t="s">
        <v>1271</v>
      </c>
      <c r="BT110" s="353">
        <v>4</v>
      </c>
      <c r="BU110" s="353">
        <v>4790</v>
      </c>
      <c r="BV110" s="204" t="s">
        <v>1248</v>
      </c>
      <c r="BW110" s="204" t="s">
        <v>1253</v>
      </c>
      <c r="BX110" s="204" t="s">
        <v>1248</v>
      </c>
      <c r="BY110" s="204" t="s">
        <v>1248</v>
      </c>
      <c r="CA110" s="353">
        <v>2908</v>
      </c>
      <c r="CB110" s="353">
        <v>281.62115348899999</v>
      </c>
      <c r="CC110" s="204" t="s">
        <v>517</v>
      </c>
      <c r="CD110" s="204" t="s">
        <v>300</v>
      </c>
      <c r="CE110" s="204" t="s">
        <v>301</v>
      </c>
      <c r="CF110" s="204" t="s">
        <v>1461</v>
      </c>
      <c r="CG110" s="204" t="s">
        <v>1256</v>
      </c>
      <c r="CH110" s="204" t="s">
        <v>195</v>
      </c>
      <c r="CJ110" s="204" t="s">
        <v>302</v>
      </c>
      <c r="CK110" s="353">
        <v>-9999</v>
      </c>
      <c r="CM110" s="353">
        <v>-9999</v>
      </c>
      <c r="CO110" s="353">
        <v>-9999</v>
      </c>
      <c r="CS110" s="353">
        <v>-9999</v>
      </c>
      <c r="CT110" s="353">
        <v>-9999</v>
      </c>
      <c r="CV110" s="204" t="s">
        <v>1265</v>
      </c>
      <c r="CW110" s="353">
        <v>2.15443946969E-5</v>
      </c>
      <c r="CX110" s="204">
        <v>1006</v>
      </c>
      <c r="CY110" s="204">
        <v>0</v>
      </c>
      <c r="CZ110" s="204">
        <v>0</v>
      </c>
      <c r="DA110" s="204">
        <v>10</v>
      </c>
      <c r="DB110" s="353">
        <v>0</v>
      </c>
      <c r="DC110" s="353">
        <v>0</v>
      </c>
      <c r="DD110" s="204">
        <v>10</v>
      </c>
      <c r="DE110" s="353">
        <v>0</v>
      </c>
      <c r="DF110" s="353">
        <v>0</v>
      </c>
      <c r="DG110" s="353">
        <v>2.9516912245400002E-2</v>
      </c>
      <c r="DH110" s="353">
        <v>4776.6551933000001</v>
      </c>
    </row>
    <row r="111" spans="1:112">
      <c r="A111" s="204">
        <v>1009</v>
      </c>
      <c r="B111" s="204">
        <v>1</v>
      </c>
      <c r="C111" s="204">
        <v>16601</v>
      </c>
      <c r="D111" s="204">
        <v>0</v>
      </c>
      <c r="E111" s="204">
        <v>1009</v>
      </c>
      <c r="F111" s="204">
        <v>1</v>
      </c>
      <c r="G111" s="204">
        <v>1009</v>
      </c>
      <c r="H111" s="204" t="s">
        <v>803</v>
      </c>
      <c r="I111" s="354">
        <v>37462</v>
      </c>
      <c r="J111" s="204" t="s">
        <v>803</v>
      </c>
      <c r="K111" s="204" t="s">
        <v>1466</v>
      </c>
      <c r="L111" s="204" t="s">
        <v>1271</v>
      </c>
      <c r="M111" s="204" t="s">
        <v>804</v>
      </c>
      <c r="N111" s="353">
        <v>100</v>
      </c>
      <c r="P111" s="204" t="s">
        <v>805</v>
      </c>
      <c r="R111" s="204" t="s">
        <v>1248</v>
      </c>
      <c r="S111" s="353">
        <v>0</v>
      </c>
      <c r="T111" s="204" t="s">
        <v>806</v>
      </c>
      <c r="U111" s="204" t="s">
        <v>294</v>
      </c>
      <c r="W111" s="204" t="s">
        <v>807</v>
      </c>
      <c r="Z111" s="204" t="s">
        <v>369</v>
      </c>
      <c r="AA111" s="204" t="s">
        <v>370</v>
      </c>
      <c r="AB111" s="204" t="s">
        <v>1467</v>
      </c>
      <c r="AC111" s="204" t="s">
        <v>1278</v>
      </c>
      <c r="AD111" s="204" t="s">
        <v>384</v>
      </c>
      <c r="AE111" s="353">
        <v>150681</v>
      </c>
      <c r="AF111" s="353">
        <v>134507</v>
      </c>
      <c r="AG111" s="353">
        <v>0</v>
      </c>
      <c r="AH111" s="204" t="s">
        <v>423</v>
      </c>
      <c r="AI111" s="353">
        <v>1</v>
      </c>
      <c r="AJ111" s="353">
        <v>1</v>
      </c>
      <c r="AK111" s="353">
        <v>4</v>
      </c>
      <c r="AL111" s="353">
        <v>2</v>
      </c>
      <c r="AM111" s="353">
        <v>10</v>
      </c>
      <c r="AN111" s="204" t="s">
        <v>186</v>
      </c>
      <c r="AO111" s="204" t="s">
        <v>1261</v>
      </c>
      <c r="AP111" s="204" t="s">
        <v>1248</v>
      </c>
      <c r="AQ111" s="353">
        <v>2</v>
      </c>
      <c r="AR111" s="204" t="s">
        <v>1248</v>
      </c>
      <c r="AS111" s="204" t="s">
        <v>1415</v>
      </c>
      <c r="AT111" s="204" t="s">
        <v>1248</v>
      </c>
      <c r="AU111" s="204" t="s">
        <v>1248</v>
      </c>
      <c r="AV111" s="204" t="s">
        <v>808</v>
      </c>
      <c r="AW111" s="204" t="s">
        <v>1248</v>
      </c>
      <c r="AX111" s="204" t="s">
        <v>1253</v>
      </c>
      <c r="AY111" s="204" t="s">
        <v>1261</v>
      </c>
      <c r="AZ111" s="204" t="s">
        <v>1248</v>
      </c>
      <c r="BA111" s="204" t="s">
        <v>1248</v>
      </c>
      <c r="BB111" s="204" t="s">
        <v>751</v>
      </c>
      <c r="BC111" s="353">
        <v>6000</v>
      </c>
      <c r="BD111" s="353">
        <v>1482</v>
      </c>
      <c r="BE111" s="204" t="s">
        <v>723</v>
      </c>
      <c r="BF111" s="353">
        <v>0</v>
      </c>
      <c r="BG111" s="204" t="s">
        <v>1248</v>
      </c>
      <c r="BH111" s="204" t="s">
        <v>1248</v>
      </c>
      <c r="BI111" s="204" t="s">
        <v>723</v>
      </c>
      <c r="BK111" s="353">
        <v>0</v>
      </c>
      <c r="BL111" s="353">
        <v>0</v>
      </c>
      <c r="BM111" s="353">
        <v>0</v>
      </c>
      <c r="BN111" s="353">
        <v>0</v>
      </c>
      <c r="BO111" s="353">
        <v>0</v>
      </c>
      <c r="BP111" s="353">
        <v>0</v>
      </c>
      <c r="BQ111" s="353">
        <v>0</v>
      </c>
      <c r="BT111" s="353">
        <v>0</v>
      </c>
      <c r="BU111" s="353">
        <v>0</v>
      </c>
      <c r="CA111" s="353">
        <v>0</v>
      </c>
      <c r="CB111" s="353">
        <v>321.405708291</v>
      </c>
      <c r="CC111" s="204" t="s">
        <v>425</v>
      </c>
      <c r="CD111" s="204" t="s">
        <v>300</v>
      </c>
      <c r="CE111" s="204" t="s">
        <v>301</v>
      </c>
      <c r="CF111" s="204" t="s">
        <v>1068</v>
      </c>
      <c r="CG111" s="204" t="s">
        <v>1256</v>
      </c>
      <c r="CH111" s="204" t="s">
        <v>1298</v>
      </c>
      <c r="CI111" s="204" t="s">
        <v>351</v>
      </c>
      <c r="CJ111" s="204" t="s">
        <v>678</v>
      </c>
      <c r="CK111" s="353">
        <v>-9999</v>
      </c>
      <c r="CM111" s="353">
        <v>-9999</v>
      </c>
      <c r="CO111" s="353">
        <v>-9999</v>
      </c>
      <c r="CS111" s="353">
        <v>-9999</v>
      </c>
      <c r="CT111" s="353">
        <v>-9999</v>
      </c>
      <c r="CV111" s="204" t="s">
        <v>1265</v>
      </c>
      <c r="CW111" s="353">
        <v>3.4283805060700001E-3</v>
      </c>
      <c r="CX111" s="204">
        <v>1009</v>
      </c>
      <c r="CY111" s="204">
        <v>4472</v>
      </c>
      <c r="CZ111" s="204">
        <v>337</v>
      </c>
      <c r="DA111" s="204">
        <v>6</v>
      </c>
      <c r="DB111" s="353">
        <v>8.1899999998999995E-3</v>
      </c>
      <c r="DC111" s="353">
        <v>6.8040000002500005E-7</v>
      </c>
      <c r="DD111" s="204">
        <v>10</v>
      </c>
      <c r="DE111" s="353">
        <v>0</v>
      </c>
      <c r="DF111" s="353">
        <v>0</v>
      </c>
      <c r="DG111" s="353">
        <v>0.96529797319699995</v>
      </c>
      <c r="DH111" s="353">
        <v>6074.0088857800001</v>
      </c>
    </row>
    <row r="112" spans="1:112">
      <c r="A112" s="204">
        <v>1010</v>
      </c>
      <c r="B112" s="204">
        <v>1</v>
      </c>
      <c r="C112" s="204">
        <v>16615</v>
      </c>
      <c r="D112" s="204">
        <v>0</v>
      </c>
      <c r="E112" s="204">
        <v>1010</v>
      </c>
      <c r="F112" s="204">
        <v>1</v>
      </c>
      <c r="G112" s="204">
        <v>1010</v>
      </c>
      <c r="H112" s="204" t="s">
        <v>809</v>
      </c>
      <c r="I112" s="354">
        <v>37462</v>
      </c>
      <c r="J112" s="204" t="s">
        <v>809</v>
      </c>
      <c r="K112" s="204" t="s">
        <v>1466</v>
      </c>
      <c r="L112" s="204" t="s">
        <v>1294</v>
      </c>
      <c r="M112" s="204" t="s">
        <v>810</v>
      </c>
      <c r="N112" s="353">
        <v>100</v>
      </c>
      <c r="P112" s="204" t="s">
        <v>811</v>
      </c>
      <c r="R112" s="204" t="s">
        <v>1248</v>
      </c>
      <c r="S112" s="353">
        <v>0</v>
      </c>
      <c r="T112" s="204" t="s">
        <v>812</v>
      </c>
      <c r="U112" s="204" t="s">
        <v>294</v>
      </c>
      <c r="W112" s="204" t="s">
        <v>807</v>
      </c>
      <c r="Z112" s="204" t="s">
        <v>369</v>
      </c>
      <c r="AA112" s="204" t="s">
        <v>370</v>
      </c>
      <c r="AB112" s="204" t="s">
        <v>1468</v>
      </c>
      <c r="AC112" s="204" t="s">
        <v>1278</v>
      </c>
      <c r="AD112" s="204" t="s">
        <v>384</v>
      </c>
      <c r="AE112" s="353">
        <v>69191</v>
      </c>
      <c r="AF112" s="353">
        <v>71626</v>
      </c>
      <c r="AG112" s="353">
        <v>0</v>
      </c>
      <c r="AH112" s="204" t="s">
        <v>423</v>
      </c>
      <c r="AI112" s="353">
        <v>1</v>
      </c>
      <c r="AJ112" s="353">
        <v>1</v>
      </c>
      <c r="AK112" s="353">
        <v>3</v>
      </c>
      <c r="AL112" s="353">
        <v>2</v>
      </c>
      <c r="AM112" s="353">
        <v>7</v>
      </c>
      <c r="AN112" s="204" t="s">
        <v>186</v>
      </c>
      <c r="AO112" s="204" t="s">
        <v>1261</v>
      </c>
      <c r="AP112" s="204" t="s">
        <v>1248</v>
      </c>
      <c r="AQ112" s="353">
        <v>1</v>
      </c>
      <c r="AR112" s="204" t="s">
        <v>1248</v>
      </c>
      <c r="AS112" s="204" t="s">
        <v>1248</v>
      </c>
      <c r="AT112" s="204" t="s">
        <v>1248</v>
      </c>
      <c r="AU112" s="204" t="s">
        <v>1248</v>
      </c>
      <c r="AV112" s="204" t="s">
        <v>813</v>
      </c>
      <c r="AW112" s="204" t="s">
        <v>1248</v>
      </c>
      <c r="AX112" s="204" t="s">
        <v>1253</v>
      </c>
      <c r="AY112" s="204" t="s">
        <v>1261</v>
      </c>
      <c r="AZ112" s="204" t="s">
        <v>1248</v>
      </c>
      <c r="BB112" s="204" t="s">
        <v>813</v>
      </c>
      <c r="BC112" s="353">
        <v>3900</v>
      </c>
      <c r="BD112" s="353">
        <v>1253</v>
      </c>
      <c r="BE112" s="204" t="s">
        <v>723</v>
      </c>
      <c r="BF112" s="353">
        <v>0</v>
      </c>
      <c r="BG112" s="204" t="s">
        <v>1248</v>
      </c>
      <c r="BH112" s="204" t="s">
        <v>1248</v>
      </c>
      <c r="BI112" s="204" t="s">
        <v>723</v>
      </c>
      <c r="BK112" s="353">
        <v>0</v>
      </c>
      <c r="BL112" s="353">
        <v>0</v>
      </c>
      <c r="BM112" s="353">
        <v>0</v>
      </c>
      <c r="BN112" s="353">
        <v>0</v>
      </c>
      <c r="BO112" s="353">
        <v>0</v>
      </c>
      <c r="BP112" s="353">
        <v>0</v>
      </c>
      <c r="BQ112" s="353">
        <v>0</v>
      </c>
      <c r="BT112" s="353">
        <v>0</v>
      </c>
      <c r="BU112" s="353">
        <v>0</v>
      </c>
      <c r="CA112" s="353">
        <v>0</v>
      </c>
      <c r="CB112" s="353">
        <v>280.55445628699999</v>
      </c>
      <c r="CC112" s="204" t="s">
        <v>425</v>
      </c>
      <c r="CD112" s="204" t="s">
        <v>300</v>
      </c>
      <c r="CE112" s="204" t="s">
        <v>301</v>
      </c>
      <c r="CF112" s="204" t="s">
        <v>1068</v>
      </c>
      <c r="CG112" s="204" t="s">
        <v>1256</v>
      </c>
      <c r="CH112" s="204" t="s">
        <v>1298</v>
      </c>
      <c r="CI112" s="204" t="s">
        <v>351</v>
      </c>
      <c r="CJ112" s="204" t="s">
        <v>678</v>
      </c>
      <c r="CK112" s="353">
        <v>-9999</v>
      </c>
      <c r="CM112" s="353">
        <v>-9999</v>
      </c>
      <c r="CO112" s="353">
        <v>-9999</v>
      </c>
      <c r="CS112" s="353">
        <v>-9999</v>
      </c>
      <c r="CT112" s="353">
        <v>-9999</v>
      </c>
      <c r="CV112" s="204" t="s">
        <v>1265</v>
      </c>
      <c r="CW112" s="353">
        <v>3.4283805060700001E-3</v>
      </c>
      <c r="CX112" s="204">
        <v>1010</v>
      </c>
      <c r="CY112" s="204">
        <v>4472</v>
      </c>
      <c r="CZ112" s="204">
        <v>337</v>
      </c>
      <c r="DA112" s="204">
        <v>6</v>
      </c>
      <c r="DB112" s="353">
        <v>8.1899999998999995E-3</v>
      </c>
      <c r="DC112" s="353">
        <v>6.8040000002500005E-7</v>
      </c>
      <c r="DD112" s="204">
        <v>10</v>
      </c>
      <c r="DE112" s="353">
        <v>0</v>
      </c>
      <c r="DF112" s="353">
        <v>0</v>
      </c>
      <c r="DG112" s="353">
        <v>0.96529797319699995</v>
      </c>
      <c r="DH112" s="353">
        <v>3925.5388804899999</v>
      </c>
    </row>
    <row r="113" spans="1:112">
      <c r="A113" s="204">
        <v>1011</v>
      </c>
      <c r="B113" s="204">
        <v>1</v>
      </c>
      <c r="C113" s="204">
        <v>16636</v>
      </c>
      <c r="D113" s="204">
        <v>0</v>
      </c>
      <c r="E113" s="204">
        <v>1011</v>
      </c>
      <c r="F113" s="204">
        <v>1</v>
      </c>
      <c r="G113" s="204">
        <v>1011</v>
      </c>
      <c r="H113" s="204" t="s">
        <v>814</v>
      </c>
      <c r="I113" s="354">
        <v>37462</v>
      </c>
      <c r="J113" s="204" t="s">
        <v>814</v>
      </c>
      <c r="K113" s="204" t="s">
        <v>1466</v>
      </c>
      <c r="L113" s="204" t="s">
        <v>1288</v>
      </c>
      <c r="M113" s="204" t="s">
        <v>815</v>
      </c>
      <c r="N113" s="353">
        <v>100</v>
      </c>
      <c r="O113" s="204" t="s">
        <v>1469</v>
      </c>
      <c r="P113" s="204" t="s">
        <v>816</v>
      </c>
      <c r="R113" s="204" t="s">
        <v>1248</v>
      </c>
      <c r="S113" s="353">
        <v>0</v>
      </c>
      <c r="T113" s="204" t="s">
        <v>806</v>
      </c>
      <c r="U113" s="204" t="s">
        <v>294</v>
      </c>
      <c r="W113" s="204" t="s">
        <v>817</v>
      </c>
      <c r="Z113" s="204" t="s">
        <v>369</v>
      </c>
      <c r="AA113" s="204" t="s">
        <v>370</v>
      </c>
      <c r="AB113" s="204" t="s">
        <v>1470</v>
      </c>
      <c r="AC113" s="204" t="s">
        <v>1278</v>
      </c>
      <c r="AD113" s="204" t="s">
        <v>384</v>
      </c>
      <c r="AE113" s="353">
        <v>159855</v>
      </c>
      <c r="AF113" s="353">
        <v>66493</v>
      </c>
      <c r="AG113" s="353">
        <v>0</v>
      </c>
      <c r="AH113" s="204" t="s">
        <v>423</v>
      </c>
      <c r="AI113" s="353">
        <v>1</v>
      </c>
      <c r="AJ113" s="353">
        <v>1</v>
      </c>
      <c r="AK113" s="353">
        <v>3</v>
      </c>
      <c r="AL113" s="353">
        <v>2</v>
      </c>
      <c r="AM113" s="353">
        <v>8</v>
      </c>
      <c r="AN113" s="204" t="s">
        <v>186</v>
      </c>
      <c r="AO113" s="204" t="s">
        <v>1261</v>
      </c>
      <c r="AP113" s="204" t="s">
        <v>1248</v>
      </c>
      <c r="AQ113" s="353">
        <v>1</v>
      </c>
      <c r="AR113" s="204" t="s">
        <v>1296</v>
      </c>
      <c r="AS113" s="204" t="s">
        <v>1248</v>
      </c>
      <c r="AT113" s="204" t="s">
        <v>1248</v>
      </c>
      <c r="AU113" s="204" t="s">
        <v>1248</v>
      </c>
      <c r="AV113" s="204" t="s">
        <v>818</v>
      </c>
      <c r="AW113" s="204" t="s">
        <v>1248</v>
      </c>
      <c r="AX113" s="204" t="s">
        <v>1253</v>
      </c>
      <c r="AY113" s="204" t="s">
        <v>1261</v>
      </c>
      <c r="AZ113" s="204" t="s">
        <v>1248</v>
      </c>
      <c r="BA113" s="204" t="s">
        <v>1248</v>
      </c>
      <c r="BB113" s="204" t="s">
        <v>808</v>
      </c>
      <c r="BC113" s="353">
        <v>4000</v>
      </c>
      <c r="BD113" s="353">
        <v>1427</v>
      </c>
      <c r="BE113" s="204" t="s">
        <v>723</v>
      </c>
      <c r="BF113" s="353">
        <v>0</v>
      </c>
      <c r="BG113" s="204" t="s">
        <v>1248</v>
      </c>
      <c r="BH113" s="204" t="s">
        <v>1296</v>
      </c>
      <c r="BI113" s="204" t="s">
        <v>1471</v>
      </c>
      <c r="BK113" s="353">
        <v>0</v>
      </c>
      <c r="BL113" s="353">
        <v>0</v>
      </c>
      <c r="BM113" s="353">
        <v>0</v>
      </c>
      <c r="BN113" s="353">
        <v>0</v>
      </c>
      <c r="BO113" s="353">
        <v>0</v>
      </c>
      <c r="BP113" s="353">
        <v>0</v>
      </c>
      <c r="BQ113" s="353">
        <v>0</v>
      </c>
      <c r="BT113" s="353">
        <v>0</v>
      </c>
      <c r="BU113" s="353">
        <v>0</v>
      </c>
      <c r="CA113" s="353">
        <v>0</v>
      </c>
      <c r="CB113" s="353">
        <v>277.891111056</v>
      </c>
      <c r="CC113" s="204" t="s">
        <v>425</v>
      </c>
      <c r="CD113" s="204" t="s">
        <v>300</v>
      </c>
      <c r="CE113" s="204" t="s">
        <v>301</v>
      </c>
      <c r="CF113" s="204" t="s">
        <v>1068</v>
      </c>
      <c r="CG113" s="204" t="s">
        <v>1256</v>
      </c>
      <c r="CH113" s="204" t="s">
        <v>1298</v>
      </c>
      <c r="CI113" s="204" t="s">
        <v>351</v>
      </c>
      <c r="CJ113" s="204" t="s">
        <v>678</v>
      </c>
      <c r="CK113" s="353">
        <v>-9999</v>
      </c>
      <c r="CM113" s="353">
        <v>-9999</v>
      </c>
      <c r="CO113" s="353">
        <v>-9999</v>
      </c>
      <c r="CS113" s="353">
        <v>-9999</v>
      </c>
      <c r="CT113" s="353">
        <v>-9999</v>
      </c>
      <c r="CV113" s="204" t="s">
        <v>1265</v>
      </c>
      <c r="CW113" s="353">
        <v>3.4283805060700001E-3</v>
      </c>
      <c r="CX113" s="204">
        <v>1011</v>
      </c>
      <c r="CY113" s="204">
        <v>4472</v>
      </c>
      <c r="CZ113" s="204">
        <v>337</v>
      </c>
      <c r="DA113" s="204">
        <v>6</v>
      </c>
      <c r="DB113" s="353">
        <v>8.1899999998999995E-3</v>
      </c>
      <c r="DC113" s="353">
        <v>6.8040000002500005E-7</v>
      </c>
      <c r="DD113" s="204">
        <v>10</v>
      </c>
      <c r="DE113" s="353">
        <v>0</v>
      </c>
      <c r="DF113" s="353">
        <v>0</v>
      </c>
      <c r="DG113" s="353">
        <v>0.96529797319699995</v>
      </c>
      <c r="DH113" s="353">
        <v>3919.7161778200002</v>
      </c>
    </row>
    <row r="114" spans="1:112">
      <c r="A114" s="204">
        <v>1012</v>
      </c>
      <c r="B114" s="204">
        <v>1</v>
      </c>
      <c r="C114" s="204">
        <v>16641</v>
      </c>
      <c r="D114" s="204">
        <v>0</v>
      </c>
      <c r="E114" s="204">
        <v>1012</v>
      </c>
      <c r="F114" s="204">
        <v>1</v>
      </c>
      <c r="G114" s="204">
        <v>1012</v>
      </c>
      <c r="H114" s="204" t="s">
        <v>819</v>
      </c>
      <c r="I114" s="354">
        <v>37462</v>
      </c>
      <c r="J114" s="204" t="s">
        <v>819</v>
      </c>
      <c r="K114" s="204" t="s">
        <v>1466</v>
      </c>
      <c r="L114" s="204" t="s">
        <v>1247</v>
      </c>
      <c r="M114" s="204" t="s">
        <v>820</v>
      </c>
      <c r="N114" s="353">
        <v>100</v>
      </c>
      <c r="P114" s="204" t="s">
        <v>821</v>
      </c>
      <c r="R114" s="204" t="s">
        <v>1248</v>
      </c>
      <c r="S114" s="353">
        <v>0</v>
      </c>
      <c r="T114" s="204" t="s">
        <v>806</v>
      </c>
      <c r="U114" s="204" t="s">
        <v>294</v>
      </c>
      <c r="W114" s="204" t="s">
        <v>822</v>
      </c>
      <c r="Z114" s="204" t="s">
        <v>369</v>
      </c>
      <c r="AA114" s="204" t="s">
        <v>370</v>
      </c>
      <c r="AB114" s="204" t="s">
        <v>1467</v>
      </c>
      <c r="AC114" s="204" t="s">
        <v>1278</v>
      </c>
      <c r="AD114" s="204" t="s">
        <v>384</v>
      </c>
      <c r="AE114" s="353">
        <v>142800</v>
      </c>
      <c r="AF114" s="353">
        <v>127200</v>
      </c>
      <c r="AG114" s="353">
        <v>0</v>
      </c>
      <c r="AH114" s="204" t="s">
        <v>423</v>
      </c>
      <c r="AI114" s="353">
        <v>1</v>
      </c>
      <c r="AJ114" s="353">
        <v>1</v>
      </c>
      <c r="AK114" s="353">
        <v>4</v>
      </c>
      <c r="AL114" s="353">
        <v>2</v>
      </c>
      <c r="AM114" s="353">
        <v>8</v>
      </c>
      <c r="AN114" s="204" t="s">
        <v>1310</v>
      </c>
      <c r="AO114" s="204" t="s">
        <v>1261</v>
      </c>
      <c r="AP114" s="204" t="s">
        <v>1248</v>
      </c>
      <c r="AQ114" s="353">
        <v>1</v>
      </c>
      <c r="AR114" s="204" t="s">
        <v>1296</v>
      </c>
      <c r="AS114" s="204" t="s">
        <v>1248</v>
      </c>
      <c r="AT114" s="204" t="s">
        <v>1248</v>
      </c>
      <c r="AU114" s="204" t="s">
        <v>1248</v>
      </c>
      <c r="AV114" s="204" t="s">
        <v>818</v>
      </c>
      <c r="AW114" s="204" t="s">
        <v>1248</v>
      </c>
      <c r="AX114" s="204" t="s">
        <v>1253</v>
      </c>
      <c r="AY114" s="204" t="s">
        <v>1261</v>
      </c>
      <c r="AZ114" s="204" t="s">
        <v>1248</v>
      </c>
      <c r="BB114" s="204" t="s">
        <v>1472</v>
      </c>
      <c r="BC114" s="353">
        <v>5000</v>
      </c>
      <c r="BD114" s="353">
        <v>1682</v>
      </c>
      <c r="BE114" s="204" t="s">
        <v>723</v>
      </c>
      <c r="BF114" s="353">
        <v>0</v>
      </c>
      <c r="BG114" s="204" t="s">
        <v>1248</v>
      </c>
      <c r="BH114" s="204" t="s">
        <v>1248</v>
      </c>
      <c r="BI114" s="204" t="s">
        <v>723</v>
      </c>
      <c r="BK114" s="353">
        <v>0</v>
      </c>
      <c r="BL114" s="353">
        <v>0</v>
      </c>
      <c r="BM114" s="353">
        <v>0</v>
      </c>
      <c r="BN114" s="353">
        <v>0</v>
      </c>
      <c r="BO114" s="353">
        <v>0</v>
      </c>
      <c r="BP114" s="353">
        <v>0</v>
      </c>
      <c r="BQ114" s="353">
        <v>0</v>
      </c>
      <c r="BT114" s="353">
        <v>0</v>
      </c>
      <c r="BU114" s="353">
        <v>0</v>
      </c>
      <c r="CA114" s="353">
        <v>0</v>
      </c>
      <c r="CB114" s="353">
        <v>299.66970190799998</v>
      </c>
      <c r="CC114" s="204" t="s">
        <v>425</v>
      </c>
      <c r="CD114" s="204" t="s">
        <v>300</v>
      </c>
      <c r="CE114" s="204" t="s">
        <v>301</v>
      </c>
      <c r="CF114" s="204" t="s">
        <v>1068</v>
      </c>
      <c r="CG114" s="204" t="s">
        <v>1256</v>
      </c>
      <c r="CH114" s="204" t="s">
        <v>1298</v>
      </c>
      <c r="CI114" s="204" t="s">
        <v>351</v>
      </c>
      <c r="CJ114" s="204" t="s">
        <v>678</v>
      </c>
      <c r="CK114" s="353">
        <v>-9999</v>
      </c>
      <c r="CM114" s="353">
        <v>-9999</v>
      </c>
      <c r="CO114" s="353">
        <v>-9999</v>
      </c>
      <c r="CS114" s="353">
        <v>-9999</v>
      </c>
      <c r="CT114" s="353">
        <v>-9999</v>
      </c>
      <c r="CV114" s="204" t="s">
        <v>1265</v>
      </c>
      <c r="CW114" s="353">
        <v>3.4283805060700001E-3</v>
      </c>
      <c r="CX114" s="204">
        <v>1012</v>
      </c>
      <c r="CY114" s="204">
        <v>4472</v>
      </c>
      <c r="CZ114" s="204">
        <v>337</v>
      </c>
      <c r="DA114" s="204">
        <v>6</v>
      </c>
      <c r="DB114" s="353">
        <v>8.1899999998999995E-3</v>
      </c>
      <c r="DC114" s="353">
        <v>6.8040000002500005E-7</v>
      </c>
      <c r="DD114" s="204">
        <v>10</v>
      </c>
      <c r="DE114" s="353">
        <v>0</v>
      </c>
      <c r="DF114" s="353">
        <v>0</v>
      </c>
      <c r="DG114" s="353">
        <v>0.96529797319699995</v>
      </c>
      <c r="DH114" s="353">
        <v>4984.9340139100004</v>
      </c>
    </row>
    <row r="115" spans="1:112">
      <c r="A115" s="204">
        <v>1013</v>
      </c>
      <c r="B115" s="204">
        <v>1</v>
      </c>
      <c r="C115" s="204">
        <v>16660</v>
      </c>
      <c r="D115" s="204">
        <v>0</v>
      </c>
      <c r="E115" s="204">
        <v>1013</v>
      </c>
      <c r="F115" s="204">
        <v>4</v>
      </c>
      <c r="G115" s="204">
        <v>1013</v>
      </c>
      <c r="H115" s="204" t="s">
        <v>823</v>
      </c>
      <c r="I115" s="354">
        <v>37462</v>
      </c>
      <c r="J115" s="204" t="s">
        <v>823</v>
      </c>
      <c r="K115" s="204" t="s">
        <v>1466</v>
      </c>
      <c r="L115" s="204" t="s">
        <v>1247</v>
      </c>
      <c r="M115" s="204" t="s">
        <v>824</v>
      </c>
      <c r="N115" s="353">
        <v>100</v>
      </c>
      <c r="P115" s="204" t="s">
        <v>825</v>
      </c>
      <c r="R115" s="204" t="s">
        <v>1248</v>
      </c>
      <c r="S115" s="353">
        <v>0</v>
      </c>
      <c r="T115" s="204" t="s">
        <v>687</v>
      </c>
      <c r="U115" s="204" t="s">
        <v>294</v>
      </c>
      <c r="W115" s="204" t="s">
        <v>826</v>
      </c>
      <c r="Z115" s="204" t="s">
        <v>369</v>
      </c>
      <c r="AA115" s="204" t="s">
        <v>370</v>
      </c>
      <c r="AB115" s="204" t="s">
        <v>1473</v>
      </c>
      <c r="AC115" s="204" t="s">
        <v>1278</v>
      </c>
      <c r="AD115" s="204" t="s">
        <v>384</v>
      </c>
      <c r="AE115" s="353">
        <v>131622</v>
      </c>
      <c r="AF115" s="353">
        <v>89503</v>
      </c>
      <c r="AG115" s="353">
        <v>0</v>
      </c>
      <c r="AH115" s="204" t="s">
        <v>423</v>
      </c>
      <c r="AI115" s="353">
        <v>1</v>
      </c>
      <c r="AJ115" s="353">
        <v>1</v>
      </c>
      <c r="AK115" s="353">
        <v>4</v>
      </c>
      <c r="AL115" s="353">
        <v>2</v>
      </c>
      <c r="AM115" s="353">
        <v>8</v>
      </c>
      <c r="AN115" s="204" t="s">
        <v>186</v>
      </c>
      <c r="AO115" s="204" t="s">
        <v>1248</v>
      </c>
      <c r="AP115" s="204" t="s">
        <v>1271</v>
      </c>
      <c r="AQ115" s="353">
        <v>2</v>
      </c>
      <c r="AR115" s="204" t="s">
        <v>1248</v>
      </c>
      <c r="AS115" s="204" t="s">
        <v>1248</v>
      </c>
      <c r="AT115" s="204" t="s">
        <v>1248</v>
      </c>
      <c r="AU115" s="204" t="s">
        <v>1248</v>
      </c>
      <c r="AV115" s="204" t="s">
        <v>827</v>
      </c>
      <c r="AW115" s="204" t="s">
        <v>1248</v>
      </c>
      <c r="AX115" s="204" t="s">
        <v>1253</v>
      </c>
      <c r="AY115" s="204" t="s">
        <v>1261</v>
      </c>
      <c r="AZ115" s="204" t="s">
        <v>1248</v>
      </c>
      <c r="BB115" s="204" t="s">
        <v>827</v>
      </c>
      <c r="BC115" s="353">
        <v>5600</v>
      </c>
      <c r="BD115" s="353">
        <v>1571</v>
      </c>
      <c r="BE115" s="204" t="s">
        <v>723</v>
      </c>
      <c r="BF115" s="353">
        <v>0</v>
      </c>
      <c r="BG115" s="204" t="s">
        <v>1248</v>
      </c>
      <c r="BH115" s="204" t="s">
        <v>1248</v>
      </c>
      <c r="BI115" s="204" t="s">
        <v>723</v>
      </c>
      <c r="BK115" s="353">
        <v>0</v>
      </c>
      <c r="BL115" s="353">
        <v>0</v>
      </c>
      <c r="BM115" s="353">
        <v>0</v>
      </c>
      <c r="BN115" s="353">
        <v>0</v>
      </c>
      <c r="BO115" s="353">
        <v>0</v>
      </c>
      <c r="BP115" s="353">
        <v>0</v>
      </c>
      <c r="BQ115" s="353">
        <v>0</v>
      </c>
      <c r="BT115" s="353">
        <v>0</v>
      </c>
      <c r="BU115" s="353">
        <v>0</v>
      </c>
      <c r="CA115" s="353">
        <v>0</v>
      </c>
      <c r="CB115" s="353">
        <v>331.482814625</v>
      </c>
      <c r="CC115" s="204" t="s">
        <v>425</v>
      </c>
      <c r="CD115" s="204" t="s">
        <v>300</v>
      </c>
      <c r="CE115" s="204" t="s">
        <v>301</v>
      </c>
      <c r="CF115" s="204" t="s">
        <v>1474</v>
      </c>
      <c r="CG115" s="204" t="s">
        <v>1256</v>
      </c>
      <c r="CH115" s="204" t="s">
        <v>1298</v>
      </c>
      <c r="CI115" s="204" t="s">
        <v>359</v>
      </c>
      <c r="CJ115" s="204" t="s">
        <v>678</v>
      </c>
      <c r="CK115" s="353">
        <v>-9999</v>
      </c>
      <c r="CM115" s="353">
        <v>-9999</v>
      </c>
      <c r="CO115" s="353">
        <v>-9999</v>
      </c>
      <c r="CS115" s="353">
        <v>-9999</v>
      </c>
      <c r="CT115" s="353">
        <v>-9999</v>
      </c>
      <c r="CV115" s="204" t="s">
        <v>1475</v>
      </c>
      <c r="CW115" s="353">
        <v>1.9786861018199999E-5</v>
      </c>
      <c r="CX115" s="204">
        <v>1013</v>
      </c>
      <c r="CY115" s="204">
        <v>4477</v>
      </c>
      <c r="CZ115" s="204">
        <v>8034</v>
      </c>
      <c r="DA115" s="204">
        <v>6</v>
      </c>
      <c r="DB115" s="353">
        <v>3.5639999999500002E-2</v>
      </c>
      <c r="DC115" s="353">
        <v>1.5070050000100001E-5</v>
      </c>
      <c r="DD115" s="204">
        <v>10</v>
      </c>
      <c r="DE115" s="353">
        <v>0</v>
      </c>
      <c r="DF115" s="353">
        <v>0</v>
      </c>
      <c r="DG115" s="353">
        <v>2.1527014862E-2</v>
      </c>
      <c r="DH115" s="353">
        <v>5863.41510776</v>
      </c>
    </row>
    <row r="116" spans="1:112">
      <c r="A116" s="204">
        <v>1014</v>
      </c>
      <c r="B116" s="204">
        <v>1</v>
      </c>
      <c r="C116" s="204">
        <v>16661</v>
      </c>
      <c r="D116" s="204">
        <v>0</v>
      </c>
      <c r="E116" s="204">
        <v>1014</v>
      </c>
      <c r="F116" s="204">
        <v>5</v>
      </c>
      <c r="G116" s="204">
        <v>1014</v>
      </c>
      <c r="H116" s="204" t="s">
        <v>922</v>
      </c>
      <c r="I116" s="354">
        <v>37462</v>
      </c>
      <c r="J116" s="204" t="s">
        <v>922</v>
      </c>
      <c r="K116" s="204" t="s">
        <v>1466</v>
      </c>
      <c r="L116" s="204" t="s">
        <v>1247</v>
      </c>
      <c r="M116" s="204" t="s">
        <v>923</v>
      </c>
      <c r="N116" s="353">
        <v>100</v>
      </c>
      <c r="P116" s="204" t="s">
        <v>924</v>
      </c>
      <c r="R116" s="204" t="s">
        <v>1248</v>
      </c>
      <c r="S116" s="353">
        <v>0</v>
      </c>
      <c r="T116" s="204" t="s">
        <v>687</v>
      </c>
      <c r="U116" s="204" t="s">
        <v>294</v>
      </c>
      <c r="W116" s="204" t="s">
        <v>925</v>
      </c>
      <c r="Z116" s="204" t="s">
        <v>369</v>
      </c>
      <c r="AA116" s="204" t="s">
        <v>370</v>
      </c>
      <c r="AB116" s="204" t="s">
        <v>1476</v>
      </c>
      <c r="AC116" s="204" t="s">
        <v>1250</v>
      </c>
      <c r="AD116" s="204" t="s">
        <v>1251</v>
      </c>
      <c r="AE116" s="353">
        <v>34898</v>
      </c>
      <c r="AF116" s="353">
        <v>81465</v>
      </c>
      <c r="AG116" s="353">
        <v>0</v>
      </c>
      <c r="AH116" s="204" t="s">
        <v>298</v>
      </c>
      <c r="AI116" s="353">
        <v>1</v>
      </c>
      <c r="AJ116" s="353">
        <v>1</v>
      </c>
      <c r="AK116" s="353">
        <v>0</v>
      </c>
      <c r="AL116" s="353">
        <v>0</v>
      </c>
      <c r="AM116" s="353">
        <v>0</v>
      </c>
      <c r="AQ116" s="353">
        <v>0</v>
      </c>
      <c r="BC116" s="353">
        <v>0</v>
      </c>
      <c r="BD116" s="353">
        <v>0</v>
      </c>
      <c r="BF116" s="353">
        <v>0</v>
      </c>
      <c r="BG116" s="204" t="s">
        <v>1248</v>
      </c>
      <c r="BH116" s="204" t="s">
        <v>1248</v>
      </c>
      <c r="BJ116" s="204" t="s">
        <v>1252</v>
      </c>
      <c r="BK116" s="353">
        <v>3000</v>
      </c>
      <c r="BL116" s="353">
        <v>2</v>
      </c>
      <c r="BM116" s="353">
        <v>4</v>
      </c>
      <c r="BN116" s="353">
        <v>0</v>
      </c>
      <c r="BO116" s="353">
        <v>4</v>
      </c>
      <c r="BP116" s="353">
        <v>0</v>
      </c>
      <c r="BQ116" s="353">
        <v>750</v>
      </c>
      <c r="BR116" s="204" t="s">
        <v>1248</v>
      </c>
      <c r="BS116" s="204" t="s">
        <v>1271</v>
      </c>
      <c r="BT116" s="353">
        <v>4</v>
      </c>
      <c r="BU116" s="353">
        <v>5550</v>
      </c>
      <c r="BV116" s="204" t="s">
        <v>1248</v>
      </c>
      <c r="BW116" s="204" t="s">
        <v>1253</v>
      </c>
      <c r="BX116" s="204" t="s">
        <v>1248</v>
      </c>
      <c r="BY116" s="204" t="s">
        <v>1248</v>
      </c>
      <c r="CA116" s="353">
        <v>3000</v>
      </c>
      <c r="CB116" s="353">
        <v>325.186104521</v>
      </c>
      <c r="CC116" s="204" t="s">
        <v>517</v>
      </c>
      <c r="CD116" s="204" t="s">
        <v>300</v>
      </c>
      <c r="CE116" s="204" t="s">
        <v>301</v>
      </c>
      <c r="CF116" s="204" t="s">
        <v>1474</v>
      </c>
      <c r="CG116" s="204" t="s">
        <v>1256</v>
      </c>
      <c r="CH116" s="204" t="s">
        <v>1298</v>
      </c>
      <c r="CI116" s="204" t="s">
        <v>359</v>
      </c>
      <c r="CJ116" s="204" t="s">
        <v>678</v>
      </c>
      <c r="CK116" s="353">
        <v>-9999</v>
      </c>
      <c r="CM116" s="353">
        <v>-9999</v>
      </c>
      <c r="CO116" s="353">
        <v>-9999</v>
      </c>
      <c r="CS116" s="353">
        <v>-9999</v>
      </c>
      <c r="CT116" s="353">
        <v>-9999</v>
      </c>
      <c r="CV116" s="204" t="s">
        <v>1475</v>
      </c>
      <c r="CW116" s="353">
        <v>1.9786861018199999E-5</v>
      </c>
      <c r="CX116" s="204">
        <v>1014</v>
      </c>
      <c r="CY116" s="204">
        <v>4477</v>
      </c>
      <c r="CZ116" s="204">
        <v>8034</v>
      </c>
      <c r="DA116" s="204">
        <v>6</v>
      </c>
      <c r="DB116" s="353">
        <v>3.5639999999500002E-2</v>
      </c>
      <c r="DC116" s="353">
        <v>1.5070050000100001E-5</v>
      </c>
      <c r="DD116" s="204">
        <v>10</v>
      </c>
      <c r="DE116" s="353">
        <v>0</v>
      </c>
      <c r="DF116" s="353">
        <v>0</v>
      </c>
      <c r="DG116" s="353">
        <v>2.1527014862E-2</v>
      </c>
      <c r="DH116" s="353">
        <v>5662.45487048</v>
      </c>
    </row>
    <row r="117" spans="1:112">
      <c r="A117" s="204">
        <v>1015</v>
      </c>
      <c r="B117" s="204">
        <v>1</v>
      </c>
      <c r="C117" s="204">
        <v>16662</v>
      </c>
      <c r="D117" s="204">
        <v>0</v>
      </c>
      <c r="E117" s="204">
        <v>1015</v>
      </c>
      <c r="F117" s="204">
        <v>5</v>
      </c>
      <c r="G117" s="204">
        <v>1015</v>
      </c>
      <c r="H117" s="204" t="s">
        <v>926</v>
      </c>
      <c r="I117" s="354">
        <v>37462</v>
      </c>
      <c r="J117" s="204" t="s">
        <v>926</v>
      </c>
      <c r="K117" s="204" t="s">
        <v>1466</v>
      </c>
      <c r="L117" s="204" t="s">
        <v>302</v>
      </c>
      <c r="M117" s="204" t="s">
        <v>927</v>
      </c>
      <c r="N117" s="353">
        <v>100</v>
      </c>
      <c r="O117" s="204" t="s">
        <v>1477</v>
      </c>
      <c r="P117" s="204" t="s">
        <v>928</v>
      </c>
      <c r="R117" s="204" t="s">
        <v>1248</v>
      </c>
      <c r="S117" s="353">
        <v>0</v>
      </c>
      <c r="T117" s="204" t="s">
        <v>687</v>
      </c>
      <c r="U117" s="204" t="s">
        <v>294</v>
      </c>
      <c r="W117" s="204" t="s">
        <v>929</v>
      </c>
      <c r="Z117" s="204" t="s">
        <v>369</v>
      </c>
      <c r="AA117" s="204" t="s">
        <v>370</v>
      </c>
      <c r="AB117" s="204" t="s">
        <v>1476</v>
      </c>
      <c r="AC117" s="204" t="s">
        <v>1250</v>
      </c>
      <c r="AD117" s="204" t="s">
        <v>1251</v>
      </c>
      <c r="AE117" s="353">
        <v>55450</v>
      </c>
      <c r="AF117" s="353">
        <v>163592</v>
      </c>
      <c r="AG117" s="353">
        <v>0</v>
      </c>
      <c r="AH117" s="204" t="s">
        <v>298</v>
      </c>
      <c r="AI117" s="353">
        <v>1</v>
      </c>
      <c r="AJ117" s="353">
        <v>1</v>
      </c>
      <c r="AK117" s="353">
        <v>0</v>
      </c>
      <c r="AL117" s="353">
        <v>0</v>
      </c>
      <c r="AM117" s="353">
        <v>0</v>
      </c>
      <c r="AQ117" s="353">
        <v>0</v>
      </c>
      <c r="BC117" s="353">
        <v>0</v>
      </c>
      <c r="BD117" s="353">
        <v>0</v>
      </c>
      <c r="BF117" s="353">
        <v>0</v>
      </c>
      <c r="BG117" s="204" t="s">
        <v>1248</v>
      </c>
      <c r="BH117" s="204" t="s">
        <v>1248</v>
      </c>
      <c r="BJ117" s="204" t="s">
        <v>1252</v>
      </c>
      <c r="BK117" s="353">
        <v>3000</v>
      </c>
      <c r="BL117" s="353">
        <v>2</v>
      </c>
      <c r="BM117" s="353">
        <v>4</v>
      </c>
      <c r="BN117" s="353">
        <v>0</v>
      </c>
      <c r="BO117" s="353">
        <v>4</v>
      </c>
      <c r="BP117" s="353">
        <v>0</v>
      </c>
      <c r="BQ117" s="353">
        <v>750</v>
      </c>
      <c r="BR117" s="204" t="s">
        <v>1248</v>
      </c>
      <c r="BS117" s="204" t="s">
        <v>1271</v>
      </c>
      <c r="BT117" s="353">
        <v>4</v>
      </c>
      <c r="BU117" s="353">
        <v>5000</v>
      </c>
      <c r="BV117" s="204" t="s">
        <v>1248</v>
      </c>
      <c r="BW117" s="204" t="s">
        <v>1253</v>
      </c>
      <c r="BX117" s="204" t="s">
        <v>1248</v>
      </c>
      <c r="BY117" s="204" t="s">
        <v>1248</v>
      </c>
      <c r="BZ117" s="204" t="s">
        <v>1254</v>
      </c>
      <c r="CA117" s="353">
        <v>3000</v>
      </c>
      <c r="CB117" s="353">
        <v>296.45852847600003</v>
      </c>
      <c r="CC117" s="204" t="s">
        <v>517</v>
      </c>
      <c r="CD117" s="204" t="s">
        <v>300</v>
      </c>
      <c r="CE117" s="204" t="s">
        <v>301</v>
      </c>
      <c r="CF117" s="204" t="s">
        <v>1474</v>
      </c>
      <c r="CG117" s="204" t="s">
        <v>1256</v>
      </c>
      <c r="CH117" s="204" t="s">
        <v>1298</v>
      </c>
      <c r="CI117" s="204" t="s">
        <v>359</v>
      </c>
      <c r="CJ117" s="204" t="s">
        <v>678</v>
      </c>
      <c r="CK117" s="353">
        <v>-9999</v>
      </c>
      <c r="CM117" s="353">
        <v>-9999</v>
      </c>
      <c r="CO117" s="353">
        <v>-9999</v>
      </c>
      <c r="CS117" s="353">
        <v>-9999</v>
      </c>
      <c r="CT117" s="353">
        <v>-9999</v>
      </c>
      <c r="CV117" s="204" t="s">
        <v>1475</v>
      </c>
      <c r="CW117" s="353">
        <v>1.9786861018199999E-5</v>
      </c>
      <c r="CX117" s="204">
        <v>1015</v>
      </c>
      <c r="CY117" s="204">
        <v>4477</v>
      </c>
      <c r="CZ117" s="204">
        <v>8034</v>
      </c>
      <c r="DA117" s="204">
        <v>6</v>
      </c>
      <c r="DB117" s="353">
        <v>3.5639999999500002E-2</v>
      </c>
      <c r="DC117" s="353">
        <v>1.5070050000100001E-5</v>
      </c>
      <c r="DD117" s="204">
        <v>10</v>
      </c>
      <c r="DE117" s="353">
        <v>0</v>
      </c>
      <c r="DF117" s="353">
        <v>0</v>
      </c>
      <c r="DG117" s="353">
        <v>2.1527014862E-2</v>
      </c>
      <c r="DH117" s="353">
        <v>4848.0424032600004</v>
      </c>
    </row>
    <row r="118" spans="1:112">
      <c r="A118" s="204">
        <v>1016</v>
      </c>
      <c r="B118" s="204">
        <v>2</v>
      </c>
      <c r="C118" s="204">
        <v>16663</v>
      </c>
      <c r="D118" s="204">
        <v>0</v>
      </c>
      <c r="E118" s="204">
        <v>1016</v>
      </c>
      <c r="F118" s="204">
        <v>4</v>
      </c>
      <c r="G118" s="204">
        <v>1016</v>
      </c>
      <c r="H118" s="204" t="s">
        <v>710</v>
      </c>
      <c r="I118" s="354">
        <v>37462</v>
      </c>
      <c r="J118" s="204" t="s">
        <v>710</v>
      </c>
      <c r="K118" s="204" t="s">
        <v>1466</v>
      </c>
      <c r="L118" s="204" t="s">
        <v>1266</v>
      </c>
      <c r="M118" s="204" t="s">
        <v>711</v>
      </c>
      <c r="N118" s="353">
        <v>100</v>
      </c>
      <c r="O118" s="204" t="s">
        <v>1478</v>
      </c>
      <c r="P118" s="204" t="s">
        <v>712</v>
      </c>
      <c r="R118" s="204" t="s">
        <v>1248</v>
      </c>
      <c r="S118" s="353">
        <v>0</v>
      </c>
      <c r="T118" s="204" t="s">
        <v>682</v>
      </c>
      <c r="U118" s="204" t="s">
        <v>307</v>
      </c>
      <c r="W118" s="204" t="s">
        <v>713</v>
      </c>
      <c r="Z118" s="204" t="s">
        <v>369</v>
      </c>
      <c r="AA118" s="204" t="s">
        <v>370</v>
      </c>
      <c r="AB118" s="204" t="s">
        <v>1479</v>
      </c>
      <c r="AC118" s="204" t="s">
        <v>1259</v>
      </c>
      <c r="AD118" s="204" t="s">
        <v>1251</v>
      </c>
      <c r="AE118" s="353">
        <v>300000</v>
      </c>
      <c r="AF118" s="353">
        <v>500000</v>
      </c>
      <c r="AG118" s="353">
        <v>0</v>
      </c>
      <c r="AH118" s="204" t="s">
        <v>298</v>
      </c>
      <c r="AI118" s="353">
        <v>0</v>
      </c>
      <c r="AJ118" s="353">
        <v>3</v>
      </c>
      <c r="AK118" s="353">
        <v>0</v>
      </c>
      <c r="AL118" s="353">
        <v>0</v>
      </c>
      <c r="AM118" s="353">
        <v>0</v>
      </c>
      <c r="AQ118" s="353">
        <v>0</v>
      </c>
      <c r="BC118" s="353">
        <v>0</v>
      </c>
      <c r="BD118" s="353">
        <v>0</v>
      </c>
      <c r="BF118" s="353">
        <v>0</v>
      </c>
      <c r="BG118" s="204" t="s">
        <v>1248</v>
      </c>
      <c r="BH118" s="204" t="s">
        <v>1248</v>
      </c>
      <c r="BJ118" s="204" t="s">
        <v>1270</v>
      </c>
      <c r="BK118" s="353">
        <v>5262</v>
      </c>
      <c r="BL118" s="353">
        <v>1</v>
      </c>
      <c r="BM118" s="353">
        <v>8</v>
      </c>
      <c r="BN118" s="353">
        <v>2</v>
      </c>
      <c r="BO118" s="353">
        <v>3</v>
      </c>
      <c r="BP118" s="353">
        <v>1</v>
      </c>
      <c r="BQ118" s="353">
        <v>657</v>
      </c>
      <c r="BR118" s="204" t="s">
        <v>1248</v>
      </c>
      <c r="BS118" s="204" t="s">
        <v>1248</v>
      </c>
      <c r="BT118" s="353">
        <v>0</v>
      </c>
      <c r="BU118" s="353">
        <v>16500</v>
      </c>
      <c r="BV118" s="204" t="s">
        <v>1248</v>
      </c>
      <c r="BW118" s="204" t="s">
        <v>1253</v>
      </c>
      <c r="BX118" s="204" t="s">
        <v>1248</v>
      </c>
      <c r="BY118" s="204" t="s">
        <v>1248</v>
      </c>
      <c r="BZ118" s="204" t="s">
        <v>1112</v>
      </c>
      <c r="CA118" s="353">
        <v>5262</v>
      </c>
      <c r="CB118" s="353">
        <v>534.509307584</v>
      </c>
      <c r="CC118" s="204" t="s">
        <v>299</v>
      </c>
      <c r="CD118" s="204" t="s">
        <v>300</v>
      </c>
      <c r="CE118" s="204" t="s">
        <v>301</v>
      </c>
      <c r="CF118" s="204" t="s">
        <v>1068</v>
      </c>
      <c r="CG118" s="204" t="s">
        <v>1256</v>
      </c>
      <c r="CH118" s="204" t="s">
        <v>1298</v>
      </c>
      <c r="CI118" s="204" t="s">
        <v>351</v>
      </c>
      <c r="CJ118" s="204" t="s">
        <v>678</v>
      </c>
      <c r="CK118" s="353">
        <v>-9999</v>
      </c>
      <c r="CM118" s="353">
        <v>-9999</v>
      </c>
      <c r="CO118" s="353">
        <v>-9999</v>
      </c>
      <c r="CS118" s="353">
        <v>-9999</v>
      </c>
      <c r="CT118" s="353">
        <v>-9999</v>
      </c>
      <c r="CV118" s="204" t="s">
        <v>1265</v>
      </c>
      <c r="CW118" s="353">
        <v>3.4283805060700001E-3</v>
      </c>
      <c r="CX118" s="204">
        <v>1016</v>
      </c>
      <c r="CY118" s="204">
        <v>4477</v>
      </c>
      <c r="CZ118" s="204">
        <v>8034</v>
      </c>
      <c r="DA118" s="204">
        <v>6</v>
      </c>
      <c r="DB118" s="353">
        <v>3.5639999999500002E-2</v>
      </c>
      <c r="DC118" s="353">
        <v>1.5070050000100001E-5</v>
      </c>
      <c r="DD118" s="204">
        <v>10</v>
      </c>
      <c r="DE118" s="353">
        <v>0</v>
      </c>
      <c r="DF118" s="353">
        <v>0</v>
      </c>
      <c r="DG118" s="353">
        <v>0.96529797319699995</v>
      </c>
      <c r="DH118" s="353">
        <v>16673.016428499999</v>
      </c>
    </row>
    <row r="119" spans="1:112">
      <c r="A119" s="204">
        <v>1017</v>
      </c>
      <c r="B119" s="204">
        <v>1</v>
      </c>
      <c r="C119" s="204">
        <v>16664</v>
      </c>
      <c r="D119" s="204">
        <v>0</v>
      </c>
      <c r="E119" s="204">
        <v>1017</v>
      </c>
      <c r="F119" s="204">
        <v>4</v>
      </c>
      <c r="G119" s="204">
        <v>1017</v>
      </c>
      <c r="H119" s="204" t="s">
        <v>930</v>
      </c>
      <c r="I119" s="354">
        <v>37462</v>
      </c>
      <c r="J119" s="204" t="s">
        <v>930</v>
      </c>
      <c r="K119" s="204" t="s">
        <v>1466</v>
      </c>
      <c r="L119" s="204" t="s">
        <v>1247</v>
      </c>
      <c r="M119" s="204" t="s">
        <v>931</v>
      </c>
      <c r="N119" s="353">
        <v>100</v>
      </c>
      <c r="O119" s="204" t="s">
        <v>1480</v>
      </c>
      <c r="P119" s="204" t="s">
        <v>932</v>
      </c>
      <c r="R119" s="204" t="s">
        <v>1248</v>
      </c>
      <c r="S119" s="353">
        <v>0</v>
      </c>
      <c r="T119" s="204" t="s">
        <v>933</v>
      </c>
      <c r="U119" s="204" t="s">
        <v>294</v>
      </c>
      <c r="W119" s="204" t="s">
        <v>934</v>
      </c>
      <c r="Z119" s="204" t="s">
        <v>369</v>
      </c>
      <c r="AA119" s="204" t="s">
        <v>370</v>
      </c>
      <c r="AB119" s="204" t="s">
        <v>1481</v>
      </c>
      <c r="AC119" s="204" t="s">
        <v>1250</v>
      </c>
      <c r="AD119" s="204" t="s">
        <v>1251</v>
      </c>
      <c r="AE119" s="353">
        <v>174600</v>
      </c>
      <c r="AF119" s="353">
        <v>275400</v>
      </c>
      <c r="AG119" s="353">
        <v>0</v>
      </c>
      <c r="AH119" s="204" t="s">
        <v>298</v>
      </c>
      <c r="AI119" s="353">
        <v>1</v>
      </c>
      <c r="AJ119" s="353">
        <v>1</v>
      </c>
      <c r="AK119" s="353">
        <v>0</v>
      </c>
      <c r="AL119" s="353">
        <v>0</v>
      </c>
      <c r="AM119" s="353">
        <v>0</v>
      </c>
      <c r="AQ119" s="353">
        <v>0</v>
      </c>
      <c r="BC119" s="353">
        <v>0</v>
      </c>
      <c r="BD119" s="353">
        <v>0</v>
      </c>
      <c r="BF119" s="353">
        <v>0</v>
      </c>
      <c r="BG119" s="204" t="s">
        <v>1248</v>
      </c>
      <c r="BH119" s="204" t="s">
        <v>1248</v>
      </c>
      <c r="BJ119" s="204" t="s">
        <v>1270</v>
      </c>
      <c r="BK119" s="353">
        <v>2754</v>
      </c>
      <c r="BL119" s="353">
        <v>2</v>
      </c>
      <c r="BM119" s="353">
        <v>4</v>
      </c>
      <c r="BN119" s="353">
        <v>0</v>
      </c>
      <c r="BO119" s="353">
        <v>4</v>
      </c>
      <c r="BP119" s="353">
        <v>0</v>
      </c>
      <c r="BQ119" s="353">
        <v>688</v>
      </c>
      <c r="BR119" s="204" t="s">
        <v>1248</v>
      </c>
      <c r="BS119" s="204" t="s">
        <v>1271</v>
      </c>
      <c r="BT119" s="353">
        <v>4</v>
      </c>
      <c r="BU119" s="353">
        <v>5875</v>
      </c>
      <c r="BV119" s="204" t="s">
        <v>1248</v>
      </c>
      <c r="BW119" s="204" t="s">
        <v>1253</v>
      </c>
      <c r="BX119" s="204" t="s">
        <v>1248</v>
      </c>
      <c r="BY119" s="204" t="s">
        <v>1248</v>
      </c>
      <c r="BZ119" s="204" t="s">
        <v>771</v>
      </c>
      <c r="CA119" s="353">
        <v>2754</v>
      </c>
      <c r="CB119" s="353">
        <v>353.32045208900001</v>
      </c>
      <c r="CC119" s="204" t="s">
        <v>517</v>
      </c>
      <c r="CD119" s="204" t="s">
        <v>300</v>
      </c>
      <c r="CE119" s="204" t="s">
        <v>301</v>
      </c>
      <c r="CF119" s="204" t="s">
        <v>1474</v>
      </c>
      <c r="CG119" s="204" t="s">
        <v>1256</v>
      </c>
      <c r="CH119" s="204" t="s">
        <v>1298</v>
      </c>
      <c r="CI119" s="204" t="s">
        <v>359</v>
      </c>
      <c r="CJ119" s="204" t="s">
        <v>678</v>
      </c>
      <c r="CK119" s="353">
        <v>-9999</v>
      </c>
      <c r="CM119" s="353">
        <v>-9999</v>
      </c>
      <c r="CO119" s="353">
        <v>-9999</v>
      </c>
      <c r="CS119" s="353">
        <v>-9999</v>
      </c>
      <c r="CT119" s="353">
        <v>-9999</v>
      </c>
      <c r="CV119" s="204" t="s">
        <v>1475</v>
      </c>
      <c r="CW119" s="353">
        <v>1.9786861018199999E-5</v>
      </c>
      <c r="CX119" s="204">
        <v>1017</v>
      </c>
      <c r="CY119" s="204">
        <v>4477</v>
      </c>
      <c r="CZ119" s="204">
        <v>8034</v>
      </c>
      <c r="DA119" s="204">
        <v>6</v>
      </c>
      <c r="DB119" s="353">
        <v>3.5639999999500002E-2</v>
      </c>
      <c r="DC119" s="353">
        <v>1.5070050000100001E-5</v>
      </c>
      <c r="DD119" s="204">
        <v>10</v>
      </c>
      <c r="DE119" s="353">
        <v>0</v>
      </c>
      <c r="DF119" s="353">
        <v>0</v>
      </c>
      <c r="DG119" s="353">
        <v>2.1527014862E-2</v>
      </c>
      <c r="DH119" s="353">
        <v>6347.0111283599999</v>
      </c>
    </row>
    <row r="120" spans="1:112">
      <c r="A120" s="204">
        <v>1018</v>
      </c>
      <c r="B120" s="204">
        <v>1</v>
      </c>
      <c r="C120" s="204">
        <v>16666</v>
      </c>
      <c r="D120" s="204">
        <v>0</v>
      </c>
      <c r="E120" s="204">
        <v>1018</v>
      </c>
      <c r="F120" s="204">
        <v>4</v>
      </c>
      <c r="G120" s="204">
        <v>1018</v>
      </c>
      <c r="H120" s="204" t="s">
        <v>714</v>
      </c>
      <c r="I120" s="354">
        <v>37462</v>
      </c>
      <c r="J120" s="204" t="s">
        <v>714</v>
      </c>
      <c r="K120" s="204" t="s">
        <v>1466</v>
      </c>
      <c r="L120" s="204" t="s">
        <v>1247</v>
      </c>
      <c r="M120" s="204" t="s">
        <v>715</v>
      </c>
      <c r="N120" s="353">
        <v>100</v>
      </c>
      <c r="O120" s="204" t="s">
        <v>1482</v>
      </c>
      <c r="P120" s="204" t="s">
        <v>716</v>
      </c>
      <c r="R120" s="204" t="s">
        <v>1248</v>
      </c>
      <c r="S120" s="353">
        <v>0</v>
      </c>
      <c r="T120" s="204" t="s">
        <v>682</v>
      </c>
      <c r="U120" s="204" t="s">
        <v>307</v>
      </c>
      <c r="W120" s="204" t="s">
        <v>717</v>
      </c>
      <c r="Z120" s="204" t="s">
        <v>369</v>
      </c>
      <c r="AA120" s="204" t="s">
        <v>370</v>
      </c>
      <c r="AB120" s="204" t="s">
        <v>1483</v>
      </c>
      <c r="AC120" s="204" t="s">
        <v>1259</v>
      </c>
      <c r="AD120" s="204" t="s">
        <v>1251</v>
      </c>
      <c r="AE120" s="353">
        <v>379900</v>
      </c>
      <c r="AF120" s="353">
        <v>682100</v>
      </c>
      <c r="AG120" s="353">
        <v>0</v>
      </c>
      <c r="AH120" s="204" t="s">
        <v>298</v>
      </c>
      <c r="AI120" s="353">
        <v>0</v>
      </c>
      <c r="AJ120" s="353">
        <v>4</v>
      </c>
      <c r="AK120" s="353">
        <v>0</v>
      </c>
      <c r="AL120" s="353">
        <v>0</v>
      </c>
      <c r="AM120" s="353">
        <v>0</v>
      </c>
      <c r="AQ120" s="353">
        <v>0</v>
      </c>
      <c r="BC120" s="353">
        <v>0</v>
      </c>
      <c r="BD120" s="353">
        <v>0</v>
      </c>
      <c r="BF120" s="353">
        <v>0</v>
      </c>
      <c r="BG120" s="204" t="s">
        <v>1248</v>
      </c>
      <c r="BH120" s="204" t="s">
        <v>1248</v>
      </c>
      <c r="BJ120" s="204" t="s">
        <v>1270</v>
      </c>
      <c r="BK120" s="353">
        <v>4121</v>
      </c>
      <c r="BL120" s="353">
        <v>2</v>
      </c>
      <c r="BM120" s="353">
        <v>10</v>
      </c>
      <c r="BN120" s="353">
        <v>5</v>
      </c>
      <c r="BO120" s="353">
        <v>0</v>
      </c>
      <c r="BP120" s="353">
        <v>0</v>
      </c>
      <c r="BQ120" s="353">
        <v>412</v>
      </c>
      <c r="BR120" s="204" t="s">
        <v>1261</v>
      </c>
      <c r="BS120" s="204" t="s">
        <v>1271</v>
      </c>
      <c r="BT120" s="353">
        <v>11</v>
      </c>
      <c r="BU120" s="353">
        <v>11900</v>
      </c>
      <c r="BV120" s="204" t="s">
        <v>1248</v>
      </c>
      <c r="BW120" s="204" t="s">
        <v>1253</v>
      </c>
      <c r="BX120" s="204" t="s">
        <v>1248</v>
      </c>
      <c r="BY120" s="204" t="s">
        <v>1248</v>
      </c>
      <c r="BZ120" s="204" t="s">
        <v>1484</v>
      </c>
      <c r="CA120" s="353">
        <v>4121</v>
      </c>
      <c r="CB120" s="353">
        <v>428.87157063500001</v>
      </c>
      <c r="CC120" s="204" t="s">
        <v>299</v>
      </c>
      <c r="CD120" s="204" t="s">
        <v>300</v>
      </c>
      <c r="CE120" s="204" t="s">
        <v>301</v>
      </c>
      <c r="CF120" s="204" t="s">
        <v>1474</v>
      </c>
      <c r="CG120" s="204" t="s">
        <v>1256</v>
      </c>
      <c r="CH120" s="204" t="s">
        <v>1298</v>
      </c>
      <c r="CI120" s="204" t="s">
        <v>359</v>
      </c>
      <c r="CJ120" s="204" t="s">
        <v>678</v>
      </c>
      <c r="CK120" s="353">
        <v>-9999</v>
      </c>
      <c r="CM120" s="353">
        <v>-9999</v>
      </c>
      <c r="CO120" s="353">
        <v>-9999</v>
      </c>
      <c r="CS120" s="353">
        <v>-9999</v>
      </c>
      <c r="CT120" s="353">
        <v>-9999</v>
      </c>
      <c r="CV120" s="204" t="s">
        <v>1475</v>
      </c>
      <c r="CW120" s="353">
        <v>1.9786861018199999E-5</v>
      </c>
      <c r="CX120" s="204">
        <v>1018</v>
      </c>
      <c r="CY120" s="204">
        <v>4477</v>
      </c>
      <c r="CZ120" s="204">
        <v>8034</v>
      </c>
      <c r="DA120" s="204">
        <v>6</v>
      </c>
      <c r="DB120" s="353">
        <v>3.5639999999500002E-2</v>
      </c>
      <c r="DC120" s="353">
        <v>1.5070050000100001E-5</v>
      </c>
      <c r="DD120" s="204">
        <v>10</v>
      </c>
      <c r="DE120" s="353">
        <v>0</v>
      </c>
      <c r="DF120" s="353">
        <v>0</v>
      </c>
      <c r="DG120" s="353">
        <v>2.1527014862E-2</v>
      </c>
      <c r="DH120" s="353">
        <v>10865.044878299999</v>
      </c>
    </row>
    <row r="121" spans="1:112">
      <c r="A121" s="204">
        <v>1020</v>
      </c>
      <c r="B121" s="204">
        <v>1</v>
      </c>
      <c r="C121" s="204">
        <v>16689</v>
      </c>
      <c r="D121" s="204">
        <v>0</v>
      </c>
      <c r="E121" s="204">
        <v>1020</v>
      </c>
      <c r="F121" s="204">
        <v>4</v>
      </c>
      <c r="G121" s="204">
        <v>1020</v>
      </c>
      <c r="H121" s="204" t="s">
        <v>972</v>
      </c>
      <c r="I121" s="354">
        <v>37599</v>
      </c>
      <c r="J121" s="204" t="s">
        <v>972</v>
      </c>
      <c r="K121" s="204" t="s">
        <v>1466</v>
      </c>
      <c r="L121" s="204" t="s">
        <v>1266</v>
      </c>
      <c r="M121" s="204" t="s">
        <v>973</v>
      </c>
      <c r="N121" s="353">
        <v>100</v>
      </c>
      <c r="P121" s="204" t="s">
        <v>974</v>
      </c>
      <c r="R121" s="204" t="s">
        <v>1248</v>
      </c>
      <c r="S121" s="353">
        <v>0</v>
      </c>
      <c r="T121" s="204" t="s">
        <v>933</v>
      </c>
      <c r="U121" s="204" t="s">
        <v>294</v>
      </c>
      <c r="Z121" s="204" t="s">
        <v>369</v>
      </c>
      <c r="AA121" s="204" t="s">
        <v>370</v>
      </c>
      <c r="AC121" s="204" t="s">
        <v>1274</v>
      </c>
      <c r="AD121" s="204" t="s">
        <v>1251</v>
      </c>
      <c r="AE121" s="353">
        <v>233000</v>
      </c>
      <c r="AF121" s="353">
        <v>0</v>
      </c>
      <c r="AG121" s="353">
        <v>0</v>
      </c>
      <c r="AH121" s="204" t="s">
        <v>298</v>
      </c>
      <c r="AI121" s="353">
        <v>1</v>
      </c>
      <c r="AJ121" s="353">
        <v>1</v>
      </c>
      <c r="AK121" s="353">
        <v>0</v>
      </c>
      <c r="AL121" s="353">
        <v>0</v>
      </c>
      <c r="AM121" s="353">
        <v>0</v>
      </c>
      <c r="AQ121" s="353">
        <v>0</v>
      </c>
      <c r="BC121" s="353">
        <v>0</v>
      </c>
      <c r="BD121" s="353">
        <v>0</v>
      </c>
      <c r="BF121" s="353">
        <v>0</v>
      </c>
      <c r="BG121" s="204" t="s">
        <v>1248</v>
      </c>
      <c r="BH121" s="204" t="s">
        <v>1248</v>
      </c>
      <c r="BJ121" s="204" t="s">
        <v>1485</v>
      </c>
      <c r="BK121" s="353">
        <v>0</v>
      </c>
      <c r="BL121" s="353">
        <v>0</v>
      </c>
      <c r="BM121" s="353">
        <v>0</v>
      </c>
      <c r="BN121" s="353">
        <v>0</v>
      </c>
      <c r="BO121" s="353">
        <v>0</v>
      </c>
      <c r="BP121" s="353">
        <v>0</v>
      </c>
      <c r="BQ121" s="353">
        <v>0</v>
      </c>
      <c r="BT121" s="353">
        <v>0</v>
      </c>
      <c r="BU121" s="353">
        <v>7750</v>
      </c>
      <c r="BX121" s="204" t="s">
        <v>1261</v>
      </c>
      <c r="BY121" s="204" t="s">
        <v>1248</v>
      </c>
      <c r="BZ121" s="204" t="s">
        <v>1254</v>
      </c>
      <c r="CA121" s="353">
        <v>0</v>
      </c>
      <c r="CB121" s="353">
        <v>362.448058667</v>
      </c>
      <c r="CC121" s="204" t="s">
        <v>88</v>
      </c>
      <c r="CD121" s="204" t="s">
        <v>300</v>
      </c>
      <c r="CE121" s="204" t="s">
        <v>301</v>
      </c>
      <c r="CF121" s="204" t="s">
        <v>1474</v>
      </c>
      <c r="CG121" s="204" t="s">
        <v>1256</v>
      </c>
      <c r="CH121" s="204" t="s">
        <v>1298</v>
      </c>
      <c r="CI121" s="204" t="s">
        <v>359</v>
      </c>
      <c r="CJ121" s="204" t="s">
        <v>678</v>
      </c>
      <c r="CK121" s="353">
        <v>-9999</v>
      </c>
      <c r="CM121" s="353">
        <v>-9999</v>
      </c>
      <c r="CO121" s="353">
        <v>-9999</v>
      </c>
      <c r="CS121" s="353">
        <v>-9999</v>
      </c>
      <c r="CT121" s="353">
        <v>-9999</v>
      </c>
      <c r="CV121" s="204" t="s">
        <v>1475</v>
      </c>
      <c r="CW121" s="353">
        <v>1.9786861018199999E-5</v>
      </c>
      <c r="CX121" s="204">
        <v>1020</v>
      </c>
      <c r="CY121" s="204">
        <v>4477</v>
      </c>
      <c r="CZ121" s="204">
        <v>8034</v>
      </c>
      <c r="DA121" s="204">
        <v>6</v>
      </c>
      <c r="DB121" s="353">
        <v>3.5639999999500002E-2</v>
      </c>
      <c r="DC121" s="353">
        <v>1.5070050000100001E-5</v>
      </c>
      <c r="DD121" s="204">
        <v>10</v>
      </c>
      <c r="DE121" s="353">
        <v>0</v>
      </c>
      <c r="DF121" s="353">
        <v>0</v>
      </c>
      <c r="DG121" s="353">
        <v>2.1527014862E-2</v>
      </c>
      <c r="DH121" s="353">
        <v>8076.9216080400001</v>
      </c>
    </row>
    <row r="122" spans="1:112">
      <c r="A122" s="204">
        <v>1021</v>
      </c>
      <c r="B122" s="204">
        <v>1</v>
      </c>
      <c r="C122" s="204">
        <v>16690</v>
      </c>
      <c r="D122" s="204">
        <v>0</v>
      </c>
      <c r="E122" s="204">
        <v>1021</v>
      </c>
      <c r="F122" s="204">
        <v>4</v>
      </c>
      <c r="G122" s="204">
        <v>1021</v>
      </c>
      <c r="H122" s="204" t="s">
        <v>935</v>
      </c>
      <c r="I122" s="354">
        <v>37599</v>
      </c>
      <c r="J122" s="204" t="s">
        <v>935</v>
      </c>
      <c r="K122" s="204" t="s">
        <v>1466</v>
      </c>
      <c r="L122" s="204" t="s">
        <v>1247</v>
      </c>
      <c r="M122" s="204" t="s">
        <v>936</v>
      </c>
      <c r="N122" s="353">
        <v>100</v>
      </c>
      <c r="O122" s="204" t="s">
        <v>1486</v>
      </c>
      <c r="P122" s="204" t="s">
        <v>937</v>
      </c>
      <c r="R122" s="204" t="s">
        <v>1248</v>
      </c>
      <c r="S122" s="353">
        <v>0</v>
      </c>
      <c r="T122" s="204" t="s">
        <v>933</v>
      </c>
      <c r="U122" s="204" t="s">
        <v>294</v>
      </c>
      <c r="W122" s="204" t="s">
        <v>938</v>
      </c>
      <c r="X122" s="204" t="s">
        <v>1487</v>
      </c>
      <c r="Z122" s="204" t="s">
        <v>369</v>
      </c>
      <c r="AA122" s="204" t="s">
        <v>370</v>
      </c>
      <c r="AB122" s="204" t="s">
        <v>882</v>
      </c>
      <c r="AC122" s="204" t="s">
        <v>1250</v>
      </c>
      <c r="AD122" s="204" t="s">
        <v>1251</v>
      </c>
      <c r="AE122" s="353">
        <v>105298</v>
      </c>
      <c r="AF122" s="353">
        <v>321160</v>
      </c>
      <c r="AG122" s="353">
        <v>0</v>
      </c>
      <c r="AH122" s="204" t="s">
        <v>298</v>
      </c>
      <c r="AI122" s="353">
        <v>1</v>
      </c>
      <c r="AJ122" s="353">
        <v>1</v>
      </c>
      <c r="AK122" s="353">
        <v>0</v>
      </c>
      <c r="AL122" s="353">
        <v>0</v>
      </c>
      <c r="AM122" s="353">
        <v>0</v>
      </c>
      <c r="AQ122" s="353">
        <v>0</v>
      </c>
      <c r="BC122" s="353">
        <v>0</v>
      </c>
      <c r="BD122" s="353">
        <v>0</v>
      </c>
      <c r="BF122" s="353">
        <v>0</v>
      </c>
      <c r="BG122" s="204" t="s">
        <v>1248</v>
      </c>
      <c r="BH122" s="204" t="s">
        <v>1248</v>
      </c>
      <c r="BJ122" s="204" t="s">
        <v>1301</v>
      </c>
      <c r="BK122" s="353">
        <v>2958</v>
      </c>
      <c r="BL122" s="353">
        <v>2</v>
      </c>
      <c r="BM122" s="353">
        <v>4</v>
      </c>
      <c r="BN122" s="353">
        <v>0</v>
      </c>
      <c r="BO122" s="353">
        <v>4</v>
      </c>
      <c r="BP122" s="353">
        <v>0</v>
      </c>
      <c r="BQ122" s="353">
        <v>740</v>
      </c>
      <c r="BR122" s="204" t="s">
        <v>1248</v>
      </c>
      <c r="BS122" s="204" t="s">
        <v>1271</v>
      </c>
      <c r="BT122" s="353">
        <v>4</v>
      </c>
      <c r="BU122" s="353">
        <v>5000</v>
      </c>
      <c r="BV122" s="204" t="s">
        <v>1248</v>
      </c>
      <c r="BW122" s="204" t="s">
        <v>1253</v>
      </c>
      <c r="BX122" s="204" t="s">
        <v>1261</v>
      </c>
      <c r="BY122" s="204" t="s">
        <v>1248</v>
      </c>
      <c r="BZ122" s="204" t="s">
        <v>771</v>
      </c>
      <c r="CA122" s="353">
        <v>2958</v>
      </c>
      <c r="CB122" s="353">
        <v>301.29682772400002</v>
      </c>
      <c r="CC122" s="204" t="s">
        <v>517</v>
      </c>
      <c r="CD122" s="204" t="s">
        <v>300</v>
      </c>
      <c r="CE122" s="204" t="s">
        <v>301</v>
      </c>
      <c r="CF122" s="204" t="s">
        <v>1474</v>
      </c>
      <c r="CG122" s="204" t="s">
        <v>1256</v>
      </c>
      <c r="CH122" s="204" t="s">
        <v>1298</v>
      </c>
      <c r="CI122" s="204" t="s">
        <v>359</v>
      </c>
      <c r="CJ122" s="204" t="s">
        <v>678</v>
      </c>
      <c r="CK122" s="353">
        <v>-9999</v>
      </c>
      <c r="CM122" s="353">
        <v>-9999</v>
      </c>
      <c r="CO122" s="353">
        <v>-9999</v>
      </c>
      <c r="CS122" s="353">
        <v>-9999</v>
      </c>
      <c r="CT122" s="353">
        <v>-9999</v>
      </c>
      <c r="CV122" s="204" t="s">
        <v>1475</v>
      </c>
      <c r="CW122" s="353">
        <v>1.9786861018199999E-5</v>
      </c>
      <c r="CX122" s="204">
        <v>1021</v>
      </c>
      <c r="CY122" s="204">
        <v>4477</v>
      </c>
      <c r="CZ122" s="204">
        <v>8034</v>
      </c>
      <c r="DA122" s="204">
        <v>6</v>
      </c>
      <c r="DB122" s="353">
        <v>3.5639999999500002E-2</v>
      </c>
      <c r="DC122" s="353">
        <v>1.5070050000100001E-5</v>
      </c>
      <c r="DD122" s="204">
        <v>10</v>
      </c>
      <c r="DE122" s="353">
        <v>0</v>
      </c>
      <c r="DF122" s="353">
        <v>0</v>
      </c>
      <c r="DG122" s="353">
        <v>2.1527014862E-2</v>
      </c>
      <c r="DH122" s="353">
        <v>5031.5994126599999</v>
      </c>
    </row>
    <row r="123" spans="1:112">
      <c r="A123" s="204">
        <v>1022</v>
      </c>
      <c r="B123" s="204">
        <v>1</v>
      </c>
      <c r="C123" s="204">
        <v>16691</v>
      </c>
      <c r="D123" s="204">
        <v>0</v>
      </c>
      <c r="E123" s="204">
        <v>1022</v>
      </c>
      <c r="F123" s="204">
        <v>4</v>
      </c>
      <c r="G123" s="204">
        <v>1022</v>
      </c>
      <c r="H123" s="204" t="s">
        <v>939</v>
      </c>
      <c r="I123" s="354">
        <v>37599</v>
      </c>
      <c r="J123" s="204" t="s">
        <v>939</v>
      </c>
      <c r="K123" s="204" t="s">
        <v>1466</v>
      </c>
      <c r="L123" s="204" t="s">
        <v>1294</v>
      </c>
      <c r="M123" s="204" t="s">
        <v>940</v>
      </c>
      <c r="N123" s="353">
        <v>100</v>
      </c>
      <c r="P123" s="204" t="s">
        <v>941</v>
      </c>
      <c r="R123" s="204" t="s">
        <v>1248</v>
      </c>
      <c r="S123" s="353">
        <v>0</v>
      </c>
      <c r="T123" s="204" t="s">
        <v>933</v>
      </c>
      <c r="U123" s="204" t="s">
        <v>294</v>
      </c>
      <c r="W123" s="204" t="s">
        <v>942</v>
      </c>
      <c r="X123" s="204" t="s">
        <v>1488</v>
      </c>
      <c r="Z123" s="204" t="s">
        <v>369</v>
      </c>
      <c r="AA123" s="204" t="s">
        <v>370</v>
      </c>
      <c r="AB123" s="204" t="s">
        <v>1489</v>
      </c>
      <c r="AC123" s="204" t="s">
        <v>1250</v>
      </c>
      <c r="AD123" s="204" t="s">
        <v>1251</v>
      </c>
      <c r="AE123" s="353">
        <v>400000</v>
      </c>
      <c r="AF123" s="353">
        <v>259000</v>
      </c>
      <c r="AG123" s="353">
        <v>0</v>
      </c>
      <c r="AH123" s="204" t="s">
        <v>298</v>
      </c>
      <c r="AI123" s="353">
        <v>1</v>
      </c>
      <c r="AJ123" s="353">
        <v>1</v>
      </c>
      <c r="AK123" s="353">
        <v>0</v>
      </c>
      <c r="AL123" s="353">
        <v>0</v>
      </c>
      <c r="AM123" s="353">
        <v>0</v>
      </c>
      <c r="AQ123" s="353">
        <v>0</v>
      </c>
      <c r="BC123" s="353">
        <v>0</v>
      </c>
      <c r="BD123" s="353">
        <v>0</v>
      </c>
      <c r="BF123" s="353">
        <v>0</v>
      </c>
      <c r="BG123" s="204" t="s">
        <v>1248</v>
      </c>
      <c r="BH123" s="204" t="s">
        <v>1248</v>
      </c>
      <c r="BJ123" s="204" t="s">
        <v>1301</v>
      </c>
      <c r="BK123" s="353">
        <v>2958</v>
      </c>
      <c r="BL123" s="353">
        <v>2</v>
      </c>
      <c r="BM123" s="353">
        <v>4</v>
      </c>
      <c r="BN123" s="353">
        <v>0</v>
      </c>
      <c r="BO123" s="353">
        <v>4</v>
      </c>
      <c r="BP123" s="353">
        <v>0</v>
      </c>
      <c r="BQ123" s="353">
        <v>740</v>
      </c>
      <c r="BR123" s="204" t="s">
        <v>1248</v>
      </c>
      <c r="BS123" s="204" t="s">
        <v>1271</v>
      </c>
      <c r="BT123" s="353">
        <v>5</v>
      </c>
      <c r="BU123" s="353">
        <v>5000</v>
      </c>
      <c r="BV123" s="204" t="s">
        <v>1248</v>
      </c>
      <c r="BW123" s="204" t="s">
        <v>1253</v>
      </c>
      <c r="BX123" s="204" t="s">
        <v>1261</v>
      </c>
      <c r="BY123" s="204" t="s">
        <v>1248</v>
      </c>
      <c r="BZ123" s="204" t="s">
        <v>771</v>
      </c>
      <c r="CA123" s="353">
        <v>2958</v>
      </c>
      <c r="CB123" s="353">
        <v>299.80468769700002</v>
      </c>
      <c r="CC123" s="204" t="s">
        <v>517</v>
      </c>
      <c r="CD123" s="204" t="s">
        <v>300</v>
      </c>
      <c r="CE123" s="204" t="s">
        <v>301</v>
      </c>
      <c r="CF123" s="204" t="s">
        <v>1474</v>
      </c>
      <c r="CG123" s="204" t="s">
        <v>1256</v>
      </c>
      <c r="CH123" s="204" t="s">
        <v>1298</v>
      </c>
      <c r="CI123" s="204" t="s">
        <v>359</v>
      </c>
      <c r="CJ123" s="204" t="s">
        <v>678</v>
      </c>
      <c r="CK123" s="353">
        <v>-9999</v>
      </c>
      <c r="CM123" s="353">
        <v>-9999</v>
      </c>
      <c r="CO123" s="353">
        <v>-9999</v>
      </c>
      <c r="CS123" s="353">
        <v>-9999</v>
      </c>
      <c r="CT123" s="353">
        <v>-9999</v>
      </c>
      <c r="CV123" s="204" t="s">
        <v>1475</v>
      </c>
      <c r="CW123" s="353">
        <v>1.9786861018199999E-5</v>
      </c>
      <c r="CX123" s="204">
        <v>1022</v>
      </c>
      <c r="CY123" s="204">
        <v>4477</v>
      </c>
      <c r="CZ123" s="204">
        <v>8034</v>
      </c>
      <c r="DA123" s="204">
        <v>6</v>
      </c>
      <c r="DB123" s="353">
        <v>3.5639999999500002E-2</v>
      </c>
      <c r="DC123" s="353">
        <v>1.5070050000100001E-5</v>
      </c>
      <c r="DD123" s="204">
        <v>10</v>
      </c>
      <c r="DE123" s="353">
        <v>0</v>
      </c>
      <c r="DF123" s="353">
        <v>0</v>
      </c>
      <c r="DG123" s="353">
        <v>2.1527014862E-2</v>
      </c>
      <c r="DH123" s="353">
        <v>4947.58485664</v>
      </c>
    </row>
    <row r="124" spans="1:112">
      <c r="A124" s="204">
        <v>1023</v>
      </c>
      <c r="B124" s="204">
        <v>1</v>
      </c>
      <c r="C124" s="204">
        <v>16692</v>
      </c>
      <c r="D124" s="204">
        <v>0</v>
      </c>
      <c r="E124" s="204">
        <v>1023</v>
      </c>
      <c r="F124" s="204">
        <v>4</v>
      </c>
      <c r="G124" s="204">
        <v>1023</v>
      </c>
      <c r="H124" s="204" t="s">
        <v>975</v>
      </c>
      <c r="I124" s="354">
        <v>37693</v>
      </c>
      <c r="J124" s="204" t="s">
        <v>975</v>
      </c>
      <c r="K124" s="204" t="s">
        <v>1466</v>
      </c>
      <c r="L124" s="204" t="s">
        <v>1247</v>
      </c>
      <c r="M124" s="204" t="s">
        <v>976</v>
      </c>
      <c r="N124" s="353">
        <v>100</v>
      </c>
      <c r="P124" s="204" t="s">
        <v>977</v>
      </c>
      <c r="R124" s="204" t="s">
        <v>1248</v>
      </c>
      <c r="S124" s="353">
        <v>0.46700000000000003</v>
      </c>
      <c r="T124" s="204" t="s">
        <v>933</v>
      </c>
      <c r="U124" s="204" t="s">
        <v>294</v>
      </c>
      <c r="Z124" s="204" t="s">
        <v>369</v>
      </c>
      <c r="AA124" s="204" t="s">
        <v>370</v>
      </c>
      <c r="AC124" s="204" t="s">
        <v>1274</v>
      </c>
      <c r="AD124" s="204" t="s">
        <v>1251</v>
      </c>
      <c r="AE124" s="353">
        <v>77623</v>
      </c>
      <c r="AF124" s="353">
        <v>0</v>
      </c>
      <c r="AG124" s="353">
        <v>0</v>
      </c>
      <c r="AH124" s="204" t="s">
        <v>298</v>
      </c>
      <c r="AI124" s="353">
        <v>1</v>
      </c>
      <c r="AJ124" s="353">
        <v>1</v>
      </c>
      <c r="AK124" s="353">
        <v>0</v>
      </c>
      <c r="AL124" s="353">
        <v>0</v>
      </c>
      <c r="AM124" s="353">
        <v>0</v>
      </c>
      <c r="AQ124" s="353">
        <v>0</v>
      </c>
      <c r="BC124" s="353">
        <v>0</v>
      </c>
      <c r="BD124" s="353">
        <v>0</v>
      </c>
      <c r="BF124" s="353">
        <v>0</v>
      </c>
      <c r="BG124" s="204" t="s">
        <v>1248</v>
      </c>
      <c r="BH124" s="204" t="s">
        <v>1248</v>
      </c>
      <c r="BK124" s="353">
        <v>0</v>
      </c>
      <c r="BL124" s="353">
        <v>0</v>
      </c>
      <c r="BM124" s="353">
        <v>0</v>
      </c>
      <c r="BN124" s="353">
        <v>0</v>
      </c>
      <c r="BO124" s="353">
        <v>0</v>
      </c>
      <c r="BP124" s="353">
        <v>0</v>
      </c>
      <c r="BQ124" s="353">
        <v>0</v>
      </c>
      <c r="BT124" s="353">
        <v>0</v>
      </c>
      <c r="BU124" s="353">
        <v>20342</v>
      </c>
      <c r="BX124" s="204" t="s">
        <v>1248</v>
      </c>
      <c r="BY124" s="204" t="s">
        <v>1248</v>
      </c>
      <c r="BZ124" s="204" t="s">
        <v>1254</v>
      </c>
      <c r="CA124" s="353">
        <v>0</v>
      </c>
      <c r="CB124" s="353">
        <v>558.88821282599997</v>
      </c>
      <c r="CC124" s="204" t="s">
        <v>88</v>
      </c>
      <c r="CD124" s="204" t="s">
        <v>300</v>
      </c>
      <c r="CE124" s="204" t="s">
        <v>301</v>
      </c>
      <c r="CF124" s="204" t="s">
        <v>1474</v>
      </c>
      <c r="CG124" s="204" t="s">
        <v>1256</v>
      </c>
      <c r="CH124" s="204" t="s">
        <v>1298</v>
      </c>
      <c r="CI124" s="204" t="s">
        <v>359</v>
      </c>
      <c r="CJ124" s="204" t="s">
        <v>678</v>
      </c>
      <c r="CK124" s="353">
        <v>-9999</v>
      </c>
      <c r="CM124" s="353">
        <v>-9999</v>
      </c>
      <c r="CO124" s="353">
        <v>-9999</v>
      </c>
      <c r="CS124" s="353">
        <v>-9999</v>
      </c>
      <c r="CT124" s="353">
        <v>-9999</v>
      </c>
      <c r="CV124" s="204" t="s">
        <v>1475</v>
      </c>
      <c r="CW124" s="353">
        <v>1.9786861018199999E-5</v>
      </c>
      <c r="CX124" s="204">
        <v>1023</v>
      </c>
      <c r="CY124" s="204">
        <v>4477</v>
      </c>
      <c r="CZ124" s="204">
        <v>8034</v>
      </c>
      <c r="DA124" s="204">
        <v>6</v>
      </c>
      <c r="DB124" s="353">
        <v>3.5639999999500002E-2</v>
      </c>
      <c r="DC124" s="353">
        <v>1.5070050000100001E-5</v>
      </c>
      <c r="DD124" s="204">
        <v>10</v>
      </c>
      <c r="DE124" s="353">
        <v>0</v>
      </c>
      <c r="DF124" s="353">
        <v>0</v>
      </c>
      <c r="DG124" s="353">
        <v>2.1527014862E-2</v>
      </c>
      <c r="DH124" s="353">
        <v>20346.8361252</v>
      </c>
    </row>
    <row r="125" spans="1:112">
      <c r="A125" s="204">
        <v>1024</v>
      </c>
      <c r="B125" s="204">
        <v>1</v>
      </c>
      <c r="C125" s="204">
        <v>16693</v>
      </c>
      <c r="D125" s="204">
        <v>0</v>
      </c>
      <c r="E125" s="204">
        <v>1024</v>
      </c>
      <c r="F125" s="204">
        <v>3</v>
      </c>
      <c r="G125" s="204">
        <v>1024</v>
      </c>
      <c r="H125" s="204" t="s">
        <v>978</v>
      </c>
      <c r="I125" s="354">
        <v>37693</v>
      </c>
      <c r="J125" s="204" t="s">
        <v>978</v>
      </c>
      <c r="K125" s="204" t="s">
        <v>1466</v>
      </c>
      <c r="L125" s="204" t="s">
        <v>1247</v>
      </c>
      <c r="M125" s="204" t="s">
        <v>976</v>
      </c>
      <c r="N125" s="353">
        <v>100</v>
      </c>
      <c r="P125" s="204" t="s">
        <v>979</v>
      </c>
      <c r="R125" s="204" t="s">
        <v>1248</v>
      </c>
      <c r="S125" s="353">
        <v>0.121</v>
      </c>
      <c r="T125" s="204" t="s">
        <v>933</v>
      </c>
      <c r="U125" s="204" t="s">
        <v>294</v>
      </c>
      <c r="Z125" s="204" t="s">
        <v>369</v>
      </c>
      <c r="AA125" s="204" t="s">
        <v>370</v>
      </c>
      <c r="AC125" s="204" t="s">
        <v>1274</v>
      </c>
      <c r="AD125" s="204" t="s">
        <v>1251</v>
      </c>
      <c r="AE125" s="353">
        <v>22936</v>
      </c>
      <c r="AF125" s="353">
        <v>0</v>
      </c>
      <c r="AG125" s="353">
        <v>0</v>
      </c>
      <c r="AH125" s="204" t="s">
        <v>298</v>
      </c>
      <c r="AI125" s="353">
        <v>1</v>
      </c>
      <c r="AJ125" s="353">
        <v>1</v>
      </c>
      <c r="AK125" s="353">
        <v>0</v>
      </c>
      <c r="AL125" s="353">
        <v>0</v>
      </c>
      <c r="AM125" s="353">
        <v>0</v>
      </c>
      <c r="AQ125" s="353">
        <v>0</v>
      </c>
      <c r="BC125" s="353">
        <v>0</v>
      </c>
      <c r="BD125" s="353">
        <v>0</v>
      </c>
      <c r="BF125" s="353">
        <v>0</v>
      </c>
      <c r="BG125" s="204" t="s">
        <v>1248</v>
      </c>
      <c r="BH125" s="204" t="s">
        <v>1248</v>
      </c>
      <c r="BK125" s="353">
        <v>0</v>
      </c>
      <c r="BL125" s="353">
        <v>0</v>
      </c>
      <c r="BM125" s="353">
        <v>0</v>
      </c>
      <c r="BN125" s="353">
        <v>0</v>
      </c>
      <c r="BO125" s="353">
        <v>0</v>
      </c>
      <c r="BP125" s="353">
        <v>0</v>
      </c>
      <c r="BQ125" s="353">
        <v>0</v>
      </c>
      <c r="BT125" s="353">
        <v>0</v>
      </c>
      <c r="BU125" s="353">
        <v>5270</v>
      </c>
      <c r="BX125" s="204" t="s">
        <v>1248</v>
      </c>
      <c r="BY125" s="204" t="s">
        <v>1248</v>
      </c>
      <c r="BZ125" s="204" t="s">
        <v>1254</v>
      </c>
      <c r="CA125" s="353">
        <v>0</v>
      </c>
      <c r="CB125" s="353">
        <v>298.000904483</v>
      </c>
      <c r="CC125" s="204" t="s">
        <v>88</v>
      </c>
      <c r="CD125" s="204" t="s">
        <v>300</v>
      </c>
      <c r="CE125" s="204" t="s">
        <v>301</v>
      </c>
      <c r="CF125" s="204" t="s">
        <v>1474</v>
      </c>
      <c r="CG125" s="204" t="s">
        <v>1256</v>
      </c>
      <c r="CH125" s="204" t="s">
        <v>1298</v>
      </c>
      <c r="CI125" s="204" t="s">
        <v>359</v>
      </c>
      <c r="CJ125" s="204" t="s">
        <v>678</v>
      </c>
      <c r="CK125" s="353">
        <v>-9999</v>
      </c>
      <c r="CM125" s="353">
        <v>-9999</v>
      </c>
      <c r="CO125" s="353">
        <v>-9999</v>
      </c>
      <c r="CS125" s="353">
        <v>-9999</v>
      </c>
      <c r="CT125" s="353">
        <v>-9999</v>
      </c>
      <c r="CV125" s="204" t="s">
        <v>1475</v>
      </c>
      <c r="CW125" s="353">
        <v>1.9786861018199999E-5</v>
      </c>
      <c r="CX125" s="204">
        <v>1024</v>
      </c>
      <c r="CY125" s="204">
        <v>4477</v>
      </c>
      <c r="CZ125" s="204">
        <v>8034</v>
      </c>
      <c r="DA125" s="204">
        <v>6</v>
      </c>
      <c r="DB125" s="353">
        <v>3.5639999999500002E-2</v>
      </c>
      <c r="DC125" s="353">
        <v>1.5070050000100001E-5</v>
      </c>
      <c r="DD125" s="204">
        <v>10</v>
      </c>
      <c r="DE125" s="353">
        <v>0</v>
      </c>
      <c r="DF125" s="353">
        <v>0</v>
      </c>
      <c r="DG125" s="353">
        <v>2.1527014862E-2</v>
      </c>
      <c r="DH125" s="353">
        <v>5278.0325212600001</v>
      </c>
    </row>
    <row r="126" spans="1:112">
      <c r="A126" s="204">
        <v>1025</v>
      </c>
      <c r="B126" s="204">
        <v>1</v>
      </c>
      <c r="C126" s="204">
        <v>16694</v>
      </c>
      <c r="D126" s="204">
        <v>0</v>
      </c>
      <c r="E126" s="204">
        <v>1025</v>
      </c>
      <c r="F126" s="204">
        <v>4</v>
      </c>
      <c r="G126" s="204">
        <v>1025</v>
      </c>
      <c r="H126" s="204" t="s">
        <v>980</v>
      </c>
      <c r="I126" s="354">
        <v>37693</v>
      </c>
      <c r="J126" s="204" t="s">
        <v>980</v>
      </c>
      <c r="K126" s="204" t="s">
        <v>1466</v>
      </c>
      <c r="L126" s="204" t="s">
        <v>1247</v>
      </c>
      <c r="M126" s="204" t="s">
        <v>976</v>
      </c>
      <c r="N126" s="353">
        <v>100</v>
      </c>
      <c r="P126" s="204" t="s">
        <v>981</v>
      </c>
      <c r="R126" s="204" t="s">
        <v>1248</v>
      </c>
      <c r="S126" s="353">
        <v>0.13200000000000001</v>
      </c>
      <c r="T126" s="204" t="s">
        <v>933</v>
      </c>
      <c r="U126" s="204" t="s">
        <v>294</v>
      </c>
      <c r="Z126" s="204" t="s">
        <v>369</v>
      </c>
      <c r="AA126" s="204" t="s">
        <v>370</v>
      </c>
      <c r="AC126" s="204" t="s">
        <v>1274</v>
      </c>
      <c r="AD126" s="204" t="s">
        <v>1251</v>
      </c>
      <c r="AE126" s="353">
        <v>22936</v>
      </c>
      <c r="AF126" s="353">
        <v>0</v>
      </c>
      <c r="AG126" s="353">
        <v>0</v>
      </c>
      <c r="AH126" s="204" t="s">
        <v>298</v>
      </c>
      <c r="AI126" s="353">
        <v>1</v>
      </c>
      <c r="AJ126" s="353">
        <v>1</v>
      </c>
      <c r="AK126" s="353">
        <v>0</v>
      </c>
      <c r="AL126" s="353">
        <v>0</v>
      </c>
      <c r="AM126" s="353">
        <v>0</v>
      </c>
      <c r="AQ126" s="353">
        <v>0</v>
      </c>
      <c r="BC126" s="353">
        <v>0</v>
      </c>
      <c r="BD126" s="353">
        <v>0</v>
      </c>
      <c r="BF126" s="353">
        <v>0</v>
      </c>
      <c r="BG126" s="204" t="s">
        <v>1248</v>
      </c>
      <c r="BH126" s="204" t="s">
        <v>1248</v>
      </c>
      <c r="BK126" s="353">
        <v>0</v>
      </c>
      <c r="BL126" s="353">
        <v>0</v>
      </c>
      <c r="BM126" s="353">
        <v>0</v>
      </c>
      <c r="BN126" s="353">
        <v>0</v>
      </c>
      <c r="BO126" s="353">
        <v>0</v>
      </c>
      <c r="BP126" s="353">
        <v>0</v>
      </c>
      <c r="BQ126" s="353">
        <v>0</v>
      </c>
      <c r="BT126" s="353">
        <v>0</v>
      </c>
      <c r="BU126" s="353">
        <v>5749</v>
      </c>
      <c r="BX126" s="204" t="s">
        <v>1248</v>
      </c>
      <c r="BY126" s="204" t="s">
        <v>1248</v>
      </c>
      <c r="BZ126" s="204" t="s">
        <v>1254</v>
      </c>
      <c r="CA126" s="353">
        <v>0</v>
      </c>
      <c r="CB126" s="353">
        <v>311.83383870099999</v>
      </c>
      <c r="CC126" s="204" t="s">
        <v>88</v>
      </c>
      <c r="CD126" s="204" t="s">
        <v>300</v>
      </c>
      <c r="CE126" s="204" t="s">
        <v>301</v>
      </c>
      <c r="CF126" s="204" t="s">
        <v>1474</v>
      </c>
      <c r="CG126" s="204" t="s">
        <v>1256</v>
      </c>
      <c r="CH126" s="204" t="s">
        <v>1298</v>
      </c>
      <c r="CI126" s="204" t="s">
        <v>359</v>
      </c>
      <c r="CJ126" s="204" t="s">
        <v>678</v>
      </c>
      <c r="CK126" s="353">
        <v>-9999</v>
      </c>
      <c r="CM126" s="353">
        <v>-9999</v>
      </c>
      <c r="CO126" s="353">
        <v>-9999</v>
      </c>
      <c r="CS126" s="353">
        <v>-9999</v>
      </c>
      <c r="CT126" s="353">
        <v>-9999</v>
      </c>
      <c r="CV126" s="204" t="s">
        <v>1475</v>
      </c>
      <c r="CW126" s="353">
        <v>1.9786861018199999E-5</v>
      </c>
      <c r="CX126" s="204">
        <v>1025</v>
      </c>
      <c r="CY126" s="204">
        <v>4477</v>
      </c>
      <c r="CZ126" s="204">
        <v>8034</v>
      </c>
      <c r="DA126" s="204">
        <v>6</v>
      </c>
      <c r="DB126" s="353">
        <v>3.5639999999500002E-2</v>
      </c>
      <c r="DC126" s="353">
        <v>1.5070050000100001E-5</v>
      </c>
      <c r="DD126" s="204">
        <v>10</v>
      </c>
      <c r="DE126" s="353">
        <v>0</v>
      </c>
      <c r="DF126" s="353">
        <v>0</v>
      </c>
      <c r="DG126" s="353">
        <v>2.1527014862E-2</v>
      </c>
      <c r="DH126" s="353">
        <v>5690.3754595600003</v>
      </c>
    </row>
    <row r="127" spans="1:112">
      <c r="A127" s="204">
        <v>1026</v>
      </c>
      <c r="B127" s="204">
        <v>1</v>
      </c>
      <c r="C127" s="204">
        <v>16695</v>
      </c>
      <c r="D127" s="204">
        <v>0</v>
      </c>
      <c r="E127" s="204">
        <v>1026</v>
      </c>
      <c r="F127" s="204">
        <v>3</v>
      </c>
      <c r="G127" s="204">
        <v>1026</v>
      </c>
      <c r="H127" s="204" t="s">
        <v>982</v>
      </c>
      <c r="I127" s="354">
        <v>37693</v>
      </c>
      <c r="J127" s="204" t="s">
        <v>982</v>
      </c>
      <c r="K127" s="204" t="s">
        <v>1466</v>
      </c>
      <c r="L127" s="204" t="s">
        <v>1247</v>
      </c>
      <c r="M127" s="204" t="s">
        <v>976</v>
      </c>
      <c r="N127" s="353">
        <v>100</v>
      </c>
      <c r="P127" s="204" t="s">
        <v>983</v>
      </c>
      <c r="R127" s="204" t="s">
        <v>1248</v>
      </c>
      <c r="S127" s="353">
        <v>0.13200000000000001</v>
      </c>
      <c r="T127" s="204" t="s">
        <v>933</v>
      </c>
      <c r="U127" s="204" t="s">
        <v>294</v>
      </c>
      <c r="Z127" s="204" t="s">
        <v>369</v>
      </c>
      <c r="AA127" s="204" t="s">
        <v>370</v>
      </c>
      <c r="AC127" s="204" t="s">
        <v>1274</v>
      </c>
      <c r="AD127" s="204" t="s">
        <v>1251</v>
      </c>
      <c r="AE127" s="353">
        <v>22936</v>
      </c>
      <c r="AF127" s="353">
        <v>0</v>
      </c>
      <c r="AG127" s="353">
        <v>0</v>
      </c>
      <c r="AH127" s="204" t="s">
        <v>298</v>
      </c>
      <c r="AI127" s="353">
        <v>1</v>
      </c>
      <c r="AJ127" s="353">
        <v>1</v>
      </c>
      <c r="AK127" s="353">
        <v>0</v>
      </c>
      <c r="AL127" s="353">
        <v>0</v>
      </c>
      <c r="AM127" s="353">
        <v>0</v>
      </c>
      <c r="AQ127" s="353">
        <v>0</v>
      </c>
      <c r="BC127" s="353">
        <v>0</v>
      </c>
      <c r="BD127" s="353">
        <v>0</v>
      </c>
      <c r="BF127" s="353">
        <v>0</v>
      </c>
      <c r="BG127" s="204" t="s">
        <v>1248</v>
      </c>
      <c r="BH127" s="204" t="s">
        <v>1248</v>
      </c>
      <c r="BK127" s="353">
        <v>0</v>
      </c>
      <c r="BL127" s="353">
        <v>0</v>
      </c>
      <c r="BM127" s="353">
        <v>0</v>
      </c>
      <c r="BN127" s="353">
        <v>0</v>
      </c>
      <c r="BO127" s="353">
        <v>0</v>
      </c>
      <c r="BP127" s="353">
        <v>0</v>
      </c>
      <c r="BQ127" s="353">
        <v>0</v>
      </c>
      <c r="BT127" s="353">
        <v>0</v>
      </c>
      <c r="BU127" s="353">
        <v>5749</v>
      </c>
      <c r="BX127" s="204" t="s">
        <v>1248</v>
      </c>
      <c r="BY127" s="204" t="s">
        <v>1248</v>
      </c>
      <c r="BZ127" s="204" t="s">
        <v>1254</v>
      </c>
      <c r="CA127" s="353">
        <v>0</v>
      </c>
      <c r="CB127" s="353">
        <v>314.58290356800001</v>
      </c>
      <c r="CC127" s="204" t="s">
        <v>88</v>
      </c>
      <c r="CD127" s="204" t="s">
        <v>300</v>
      </c>
      <c r="CE127" s="204" t="s">
        <v>301</v>
      </c>
      <c r="CF127" s="204" t="s">
        <v>1474</v>
      </c>
      <c r="CG127" s="204" t="s">
        <v>1256</v>
      </c>
      <c r="CH127" s="204" t="s">
        <v>1298</v>
      </c>
      <c r="CI127" s="204" t="s">
        <v>359</v>
      </c>
      <c r="CJ127" s="204" t="s">
        <v>678</v>
      </c>
      <c r="CK127" s="353">
        <v>-9999</v>
      </c>
      <c r="CM127" s="353">
        <v>-9999</v>
      </c>
      <c r="CO127" s="353">
        <v>-9999</v>
      </c>
      <c r="CS127" s="353">
        <v>-9999</v>
      </c>
      <c r="CT127" s="353">
        <v>-9999</v>
      </c>
      <c r="CV127" s="204" t="s">
        <v>1475</v>
      </c>
      <c r="CW127" s="353">
        <v>1.9786861018199999E-5</v>
      </c>
      <c r="CX127" s="204">
        <v>1026</v>
      </c>
      <c r="CY127" s="204">
        <v>4477</v>
      </c>
      <c r="CZ127" s="204">
        <v>8034</v>
      </c>
      <c r="DA127" s="204">
        <v>6</v>
      </c>
      <c r="DB127" s="353">
        <v>3.5639999999500002E-2</v>
      </c>
      <c r="DC127" s="353">
        <v>1.5070050000100001E-5</v>
      </c>
      <c r="DD127" s="204">
        <v>10</v>
      </c>
      <c r="DE127" s="353">
        <v>0</v>
      </c>
      <c r="DF127" s="353">
        <v>0</v>
      </c>
      <c r="DG127" s="353">
        <v>2.1527014862E-2</v>
      </c>
      <c r="DH127" s="353">
        <v>5815.3169756200004</v>
      </c>
    </row>
    <row r="128" spans="1:112">
      <c r="A128" s="204">
        <v>1027</v>
      </c>
      <c r="B128" s="204">
        <v>1</v>
      </c>
      <c r="C128" s="204">
        <v>16696</v>
      </c>
      <c r="D128" s="204">
        <v>0</v>
      </c>
      <c r="E128" s="204">
        <v>1027</v>
      </c>
      <c r="F128" s="204">
        <v>4</v>
      </c>
      <c r="G128" s="204">
        <v>1027</v>
      </c>
      <c r="H128" s="204" t="s">
        <v>984</v>
      </c>
      <c r="I128" s="354">
        <v>37693</v>
      </c>
      <c r="J128" s="204" t="s">
        <v>984</v>
      </c>
      <c r="K128" s="204" t="s">
        <v>1466</v>
      </c>
      <c r="L128" s="204" t="s">
        <v>1247</v>
      </c>
      <c r="M128" s="204" t="s">
        <v>976</v>
      </c>
      <c r="N128" s="353">
        <v>100</v>
      </c>
      <c r="P128" s="204" t="s">
        <v>985</v>
      </c>
      <c r="R128" s="204" t="s">
        <v>1248</v>
      </c>
      <c r="S128" s="353">
        <v>0.13300000000000001</v>
      </c>
      <c r="T128" s="204" t="s">
        <v>933</v>
      </c>
      <c r="U128" s="204" t="s">
        <v>294</v>
      </c>
      <c r="Z128" s="204" t="s">
        <v>369</v>
      </c>
      <c r="AA128" s="204" t="s">
        <v>370</v>
      </c>
      <c r="AC128" s="204" t="s">
        <v>1274</v>
      </c>
      <c r="AD128" s="204" t="s">
        <v>1251</v>
      </c>
      <c r="AE128" s="353">
        <v>22936</v>
      </c>
      <c r="AF128" s="353">
        <v>0</v>
      </c>
      <c r="AG128" s="353">
        <v>0</v>
      </c>
      <c r="AH128" s="204" t="s">
        <v>298</v>
      </c>
      <c r="AI128" s="353">
        <v>1</v>
      </c>
      <c r="AJ128" s="353">
        <v>1</v>
      </c>
      <c r="AK128" s="353">
        <v>0</v>
      </c>
      <c r="AL128" s="353">
        <v>0</v>
      </c>
      <c r="AM128" s="353">
        <v>0</v>
      </c>
      <c r="AQ128" s="353">
        <v>0</v>
      </c>
      <c r="BC128" s="353">
        <v>0</v>
      </c>
      <c r="BD128" s="353">
        <v>0</v>
      </c>
      <c r="BF128" s="353">
        <v>0</v>
      </c>
      <c r="BG128" s="204" t="s">
        <v>1248</v>
      </c>
      <c r="BH128" s="204" t="s">
        <v>1248</v>
      </c>
      <c r="BK128" s="353">
        <v>0</v>
      </c>
      <c r="BL128" s="353">
        <v>0</v>
      </c>
      <c r="BM128" s="353">
        <v>0</v>
      </c>
      <c r="BN128" s="353">
        <v>0</v>
      </c>
      <c r="BO128" s="353">
        <v>0</v>
      </c>
      <c r="BP128" s="353">
        <v>0</v>
      </c>
      <c r="BQ128" s="353">
        <v>0</v>
      </c>
      <c r="BT128" s="353">
        <v>0</v>
      </c>
      <c r="BU128" s="353">
        <v>5793</v>
      </c>
      <c r="BX128" s="204" t="s">
        <v>1248</v>
      </c>
      <c r="BY128" s="204" t="s">
        <v>1248</v>
      </c>
      <c r="BZ128" s="204" t="s">
        <v>1254</v>
      </c>
      <c r="CA128" s="353">
        <v>0</v>
      </c>
      <c r="CB128" s="353">
        <v>313.19993933000001</v>
      </c>
      <c r="CC128" s="204" t="s">
        <v>88</v>
      </c>
      <c r="CD128" s="204" t="s">
        <v>300</v>
      </c>
      <c r="CE128" s="204" t="s">
        <v>301</v>
      </c>
      <c r="CF128" s="204" t="s">
        <v>1474</v>
      </c>
      <c r="CG128" s="204" t="s">
        <v>1256</v>
      </c>
      <c r="CH128" s="204" t="s">
        <v>1298</v>
      </c>
      <c r="CI128" s="204" t="s">
        <v>359</v>
      </c>
      <c r="CJ128" s="204" t="s">
        <v>678</v>
      </c>
      <c r="CK128" s="353">
        <v>-9999</v>
      </c>
      <c r="CM128" s="353">
        <v>-9999</v>
      </c>
      <c r="CO128" s="353">
        <v>-9999</v>
      </c>
      <c r="CS128" s="353">
        <v>-9999</v>
      </c>
      <c r="CT128" s="353">
        <v>-9999</v>
      </c>
      <c r="CV128" s="204" t="s">
        <v>1475</v>
      </c>
      <c r="CW128" s="353">
        <v>1.9786861018199999E-5</v>
      </c>
      <c r="CX128" s="204">
        <v>1027</v>
      </c>
      <c r="CY128" s="204">
        <v>4477</v>
      </c>
      <c r="CZ128" s="204">
        <v>8034</v>
      </c>
      <c r="DA128" s="204">
        <v>6</v>
      </c>
      <c r="DB128" s="353">
        <v>3.5639999999500002E-2</v>
      </c>
      <c r="DC128" s="353">
        <v>1.5070050000100001E-5</v>
      </c>
      <c r="DD128" s="204">
        <v>10</v>
      </c>
      <c r="DE128" s="353">
        <v>0</v>
      </c>
      <c r="DF128" s="353">
        <v>0</v>
      </c>
      <c r="DG128" s="353">
        <v>2.1527014862E-2</v>
      </c>
      <c r="DH128" s="353">
        <v>5792.9961324699998</v>
      </c>
    </row>
    <row r="129" spans="1:112">
      <c r="A129" s="204">
        <v>1034</v>
      </c>
      <c r="B129" s="204">
        <v>1</v>
      </c>
      <c r="C129" s="204">
        <v>16734</v>
      </c>
      <c r="D129" s="204">
        <v>0</v>
      </c>
      <c r="E129" s="204">
        <v>1034</v>
      </c>
      <c r="F129" s="204">
        <v>1</v>
      </c>
      <c r="G129" s="204">
        <v>1034</v>
      </c>
      <c r="H129" s="204" t="s">
        <v>828</v>
      </c>
      <c r="I129" s="354">
        <v>37462</v>
      </c>
      <c r="J129" s="204" t="s">
        <v>828</v>
      </c>
      <c r="K129" s="204" t="s">
        <v>1466</v>
      </c>
      <c r="L129" s="204" t="s">
        <v>1294</v>
      </c>
      <c r="M129" s="204" t="s">
        <v>829</v>
      </c>
      <c r="N129" s="353">
        <v>100</v>
      </c>
      <c r="P129" s="204" t="s">
        <v>830</v>
      </c>
      <c r="R129" s="204" t="s">
        <v>1248</v>
      </c>
      <c r="S129" s="353">
        <v>0</v>
      </c>
      <c r="T129" s="204" t="s">
        <v>831</v>
      </c>
      <c r="U129" s="204" t="s">
        <v>307</v>
      </c>
      <c r="W129" s="204" t="s">
        <v>832</v>
      </c>
      <c r="Z129" s="204" t="s">
        <v>369</v>
      </c>
      <c r="AA129" s="204" t="s">
        <v>370</v>
      </c>
      <c r="AB129" s="204" t="s">
        <v>1490</v>
      </c>
      <c r="AC129" s="204" t="s">
        <v>1278</v>
      </c>
      <c r="AD129" s="204" t="s">
        <v>384</v>
      </c>
      <c r="AE129" s="353">
        <v>161400</v>
      </c>
      <c r="AF129" s="353">
        <v>103600</v>
      </c>
      <c r="AG129" s="353">
        <v>0</v>
      </c>
      <c r="AH129" s="204" t="s">
        <v>423</v>
      </c>
      <c r="AI129" s="353">
        <v>1</v>
      </c>
      <c r="AJ129" s="353">
        <v>1</v>
      </c>
      <c r="AK129" s="353">
        <v>4</v>
      </c>
      <c r="AL129" s="353">
        <v>2</v>
      </c>
      <c r="AM129" s="353">
        <v>8</v>
      </c>
      <c r="AN129" s="204" t="s">
        <v>186</v>
      </c>
      <c r="AO129" s="204" t="s">
        <v>1261</v>
      </c>
      <c r="AP129" s="204" t="s">
        <v>1248</v>
      </c>
      <c r="AQ129" s="353">
        <v>2</v>
      </c>
      <c r="AR129" s="204" t="s">
        <v>1248</v>
      </c>
      <c r="AS129" s="204" t="s">
        <v>1248</v>
      </c>
      <c r="AT129" s="204" t="s">
        <v>1248</v>
      </c>
      <c r="AU129" s="204" t="s">
        <v>1248</v>
      </c>
      <c r="AV129" s="204" t="s">
        <v>808</v>
      </c>
      <c r="AW129" s="204" t="s">
        <v>1248</v>
      </c>
      <c r="AX129" s="204" t="s">
        <v>1253</v>
      </c>
      <c r="AY129" s="204" t="s">
        <v>1261</v>
      </c>
      <c r="AZ129" s="204" t="s">
        <v>1248</v>
      </c>
      <c r="BA129" s="204" t="s">
        <v>1248</v>
      </c>
      <c r="BB129" s="204" t="s">
        <v>808</v>
      </c>
      <c r="BC129" s="353">
        <v>5000</v>
      </c>
      <c r="BD129" s="353">
        <v>1511</v>
      </c>
      <c r="BE129" s="204" t="s">
        <v>723</v>
      </c>
      <c r="BF129" s="353">
        <v>0</v>
      </c>
      <c r="BG129" s="204" t="s">
        <v>1248</v>
      </c>
      <c r="BH129" s="204" t="s">
        <v>1248</v>
      </c>
      <c r="BI129" s="204" t="s">
        <v>723</v>
      </c>
      <c r="BK129" s="353">
        <v>0</v>
      </c>
      <c r="BL129" s="353">
        <v>0</v>
      </c>
      <c r="BM129" s="353">
        <v>0</v>
      </c>
      <c r="BN129" s="353">
        <v>0</v>
      </c>
      <c r="BO129" s="353">
        <v>0</v>
      </c>
      <c r="BP129" s="353">
        <v>0</v>
      </c>
      <c r="BQ129" s="353">
        <v>0</v>
      </c>
      <c r="BT129" s="353">
        <v>0</v>
      </c>
      <c r="BU129" s="353">
        <v>0</v>
      </c>
      <c r="CA129" s="353">
        <v>0</v>
      </c>
      <c r="CB129" s="353">
        <v>301.30552627600002</v>
      </c>
      <c r="CC129" s="204" t="s">
        <v>425</v>
      </c>
      <c r="CD129" s="204" t="s">
        <v>300</v>
      </c>
      <c r="CE129" s="204" t="s">
        <v>301</v>
      </c>
      <c r="CF129" s="204" t="s">
        <v>1491</v>
      </c>
      <c r="CG129" s="204" t="s">
        <v>1256</v>
      </c>
      <c r="CH129" s="204" t="s">
        <v>1298</v>
      </c>
      <c r="CI129" s="204" t="s">
        <v>359</v>
      </c>
      <c r="CJ129" s="204" t="s">
        <v>678</v>
      </c>
      <c r="CK129" s="353">
        <v>-9999</v>
      </c>
      <c r="CM129" s="353">
        <v>-9999</v>
      </c>
      <c r="CO129" s="353">
        <v>-9999</v>
      </c>
      <c r="CS129" s="353">
        <v>-9999</v>
      </c>
      <c r="CT129" s="353">
        <v>-9999</v>
      </c>
      <c r="CV129" s="204" t="s">
        <v>1475</v>
      </c>
      <c r="CW129" s="353">
        <v>4.1762391793900001E-5</v>
      </c>
      <c r="CX129" s="204">
        <v>1034</v>
      </c>
      <c r="CY129" s="204">
        <v>4426</v>
      </c>
      <c r="CZ129" s="204">
        <v>8034</v>
      </c>
      <c r="DA129" s="204">
        <v>6</v>
      </c>
      <c r="DB129" s="353">
        <v>1.3860000000200001E-2</v>
      </c>
      <c r="DC129" s="353">
        <v>1.1967750000600001E-6</v>
      </c>
      <c r="DD129" s="204">
        <v>10</v>
      </c>
      <c r="DE129" s="353">
        <v>0</v>
      </c>
      <c r="DF129" s="353">
        <v>0</v>
      </c>
      <c r="DG129" s="353">
        <v>4.8854299355599998E-2</v>
      </c>
      <c r="DH129" s="353">
        <v>5028.5602515600003</v>
      </c>
    </row>
    <row r="130" spans="1:112">
      <c r="A130" s="204">
        <v>1048</v>
      </c>
      <c r="B130" s="204">
        <v>1</v>
      </c>
      <c r="C130" s="204">
        <v>16808</v>
      </c>
      <c r="D130" s="204">
        <v>0</v>
      </c>
      <c r="E130" s="204">
        <v>1048</v>
      </c>
      <c r="F130" s="204">
        <v>1</v>
      </c>
      <c r="G130" s="204">
        <v>1048</v>
      </c>
      <c r="H130" s="204" t="s">
        <v>833</v>
      </c>
      <c r="I130" s="354">
        <v>37462</v>
      </c>
      <c r="J130" s="204" t="s">
        <v>833</v>
      </c>
      <c r="K130" s="204" t="s">
        <v>1466</v>
      </c>
      <c r="L130" s="204" t="s">
        <v>1294</v>
      </c>
      <c r="M130" s="204" t="s">
        <v>834</v>
      </c>
      <c r="N130" s="353">
        <v>100</v>
      </c>
      <c r="P130" s="204" t="s">
        <v>835</v>
      </c>
      <c r="R130" s="204" t="s">
        <v>1248</v>
      </c>
      <c r="S130" s="353">
        <v>0</v>
      </c>
      <c r="T130" s="204" t="s">
        <v>831</v>
      </c>
      <c r="U130" s="204" t="s">
        <v>307</v>
      </c>
      <c r="W130" s="204" t="s">
        <v>836</v>
      </c>
      <c r="Z130" s="204" t="s">
        <v>369</v>
      </c>
      <c r="AA130" s="204" t="s">
        <v>370</v>
      </c>
      <c r="AB130" s="204" t="s">
        <v>1490</v>
      </c>
      <c r="AC130" s="204" t="s">
        <v>1278</v>
      </c>
      <c r="AD130" s="204" t="s">
        <v>384</v>
      </c>
      <c r="AE130" s="353">
        <v>33052</v>
      </c>
      <c r="AF130" s="353">
        <v>29720</v>
      </c>
      <c r="AG130" s="353">
        <v>0</v>
      </c>
      <c r="AH130" s="204" t="s">
        <v>423</v>
      </c>
      <c r="AI130" s="353">
        <v>1</v>
      </c>
      <c r="AJ130" s="353">
        <v>1</v>
      </c>
      <c r="AK130" s="353">
        <v>2</v>
      </c>
      <c r="AL130" s="353">
        <v>2</v>
      </c>
      <c r="AM130" s="353">
        <v>8</v>
      </c>
      <c r="AN130" s="204" t="s">
        <v>186</v>
      </c>
      <c r="AO130" s="204" t="s">
        <v>1261</v>
      </c>
      <c r="AP130" s="204" t="s">
        <v>1248</v>
      </c>
      <c r="AQ130" s="353">
        <v>2</v>
      </c>
      <c r="AR130" s="204" t="s">
        <v>1248</v>
      </c>
      <c r="AS130" s="204" t="s">
        <v>1248</v>
      </c>
      <c r="AT130" s="204" t="s">
        <v>1248</v>
      </c>
      <c r="AU130" s="204" t="s">
        <v>1248</v>
      </c>
      <c r="AV130" s="204" t="s">
        <v>837</v>
      </c>
      <c r="AW130" s="204" t="s">
        <v>1248</v>
      </c>
      <c r="AX130" s="204" t="s">
        <v>1253</v>
      </c>
      <c r="AY130" s="204" t="s">
        <v>1261</v>
      </c>
      <c r="AZ130" s="204" t="s">
        <v>1248</v>
      </c>
      <c r="BB130" s="204" t="s">
        <v>837</v>
      </c>
      <c r="BC130" s="353">
        <v>5000</v>
      </c>
      <c r="BD130" s="353">
        <v>1241</v>
      </c>
      <c r="BE130" s="204" t="s">
        <v>723</v>
      </c>
      <c r="BF130" s="353">
        <v>0</v>
      </c>
      <c r="BG130" s="204" t="s">
        <v>1248</v>
      </c>
      <c r="BH130" s="204" t="s">
        <v>1248</v>
      </c>
      <c r="BI130" s="204" t="s">
        <v>723</v>
      </c>
      <c r="BK130" s="353">
        <v>0</v>
      </c>
      <c r="BL130" s="353">
        <v>0</v>
      </c>
      <c r="BM130" s="353">
        <v>0</v>
      </c>
      <c r="BN130" s="353">
        <v>0</v>
      </c>
      <c r="BO130" s="353">
        <v>0</v>
      </c>
      <c r="BP130" s="353">
        <v>0</v>
      </c>
      <c r="BQ130" s="353">
        <v>0</v>
      </c>
      <c r="BT130" s="353">
        <v>0</v>
      </c>
      <c r="BU130" s="353">
        <v>0</v>
      </c>
      <c r="CA130" s="353">
        <v>0</v>
      </c>
      <c r="CB130" s="353">
        <v>300.521566662</v>
      </c>
      <c r="CC130" s="204" t="s">
        <v>425</v>
      </c>
      <c r="CD130" s="204" t="s">
        <v>300</v>
      </c>
      <c r="CE130" s="204" t="s">
        <v>301</v>
      </c>
      <c r="CF130" s="204" t="s">
        <v>1491</v>
      </c>
      <c r="CG130" s="204" t="s">
        <v>1256</v>
      </c>
      <c r="CH130" s="204" t="s">
        <v>1298</v>
      </c>
      <c r="CI130" s="204" t="s">
        <v>359</v>
      </c>
      <c r="CJ130" s="204" t="s">
        <v>678</v>
      </c>
      <c r="CK130" s="353">
        <v>-9999</v>
      </c>
      <c r="CM130" s="353">
        <v>-9999</v>
      </c>
      <c r="CO130" s="353">
        <v>-9999</v>
      </c>
      <c r="CS130" s="353">
        <v>-9999</v>
      </c>
      <c r="CT130" s="353">
        <v>-9999</v>
      </c>
      <c r="CV130" s="204" t="s">
        <v>1475</v>
      </c>
      <c r="CW130" s="353">
        <v>4.1762391793900001E-5</v>
      </c>
      <c r="CX130" s="204">
        <v>1048</v>
      </c>
      <c r="CY130" s="204">
        <v>4477</v>
      </c>
      <c r="CZ130" s="204">
        <v>8034</v>
      </c>
      <c r="DA130" s="204">
        <v>6</v>
      </c>
      <c r="DB130" s="353">
        <v>3.5639999999500002E-2</v>
      </c>
      <c r="DC130" s="353">
        <v>1.5070050000100001E-5</v>
      </c>
      <c r="DD130" s="204">
        <v>10</v>
      </c>
      <c r="DE130" s="353">
        <v>0</v>
      </c>
      <c r="DF130" s="353">
        <v>0</v>
      </c>
      <c r="DG130" s="353">
        <v>4.8854299355599998E-2</v>
      </c>
      <c r="DH130" s="353">
        <v>4986.9177811099999</v>
      </c>
    </row>
    <row r="131" spans="1:112">
      <c r="A131" s="204">
        <v>1057</v>
      </c>
      <c r="B131" s="204">
        <v>2</v>
      </c>
      <c r="C131" s="204">
        <v>16935</v>
      </c>
      <c r="D131" s="204">
        <v>0</v>
      </c>
      <c r="E131" s="204">
        <v>1057</v>
      </c>
      <c r="F131" s="204">
        <v>5</v>
      </c>
      <c r="G131" s="204">
        <v>1057</v>
      </c>
      <c r="H131" s="204" t="s">
        <v>838</v>
      </c>
      <c r="I131" s="354">
        <v>37462</v>
      </c>
      <c r="J131" s="204" t="s">
        <v>838</v>
      </c>
      <c r="K131" s="204" t="s">
        <v>1466</v>
      </c>
      <c r="L131" s="204" t="s">
        <v>1288</v>
      </c>
      <c r="M131" s="204" t="s">
        <v>839</v>
      </c>
      <c r="N131" s="353">
        <v>100</v>
      </c>
      <c r="O131" s="204" t="s">
        <v>1492</v>
      </c>
      <c r="P131" s="204" t="s">
        <v>840</v>
      </c>
      <c r="R131" s="204" t="s">
        <v>1248</v>
      </c>
      <c r="S131" s="353">
        <v>0</v>
      </c>
      <c r="T131" s="204" t="s">
        <v>831</v>
      </c>
      <c r="U131" s="204" t="s">
        <v>307</v>
      </c>
      <c r="W131" s="204" t="s">
        <v>841</v>
      </c>
      <c r="Z131" s="204" t="s">
        <v>369</v>
      </c>
      <c r="AA131" s="204" t="s">
        <v>370</v>
      </c>
      <c r="AB131" s="204" t="s">
        <v>1493</v>
      </c>
      <c r="AC131" s="204" t="s">
        <v>1278</v>
      </c>
      <c r="AD131" s="204" t="s">
        <v>384</v>
      </c>
      <c r="AE131" s="353">
        <v>174500</v>
      </c>
      <c r="AF131" s="353">
        <v>65500</v>
      </c>
      <c r="AG131" s="353">
        <v>0</v>
      </c>
      <c r="AH131" s="204" t="s">
        <v>423</v>
      </c>
      <c r="AI131" s="353">
        <v>1</v>
      </c>
      <c r="AJ131" s="353">
        <v>1</v>
      </c>
      <c r="AK131" s="353">
        <v>2</v>
      </c>
      <c r="AL131" s="353">
        <v>2</v>
      </c>
      <c r="AM131" s="353">
        <v>8</v>
      </c>
      <c r="AN131" s="204" t="s">
        <v>186</v>
      </c>
      <c r="AO131" s="204" t="s">
        <v>1248</v>
      </c>
      <c r="AP131" s="204" t="s">
        <v>1248</v>
      </c>
      <c r="AQ131" s="353">
        <v>0</v>
      </c>
      <c r="AR131" s="204" t="s">
        <v>1248</v>
      </c>
      <c r="AS131" s="204" t="s">
        <v>1248</v>
      </c>
      <c r="AT131" s="204" t="s">
        <v>1248</v>
      </c>
      <c r="AU131" s="204" t="s">
        <v>1248</v>
      </c>
      <c r="AV131" s="204" t="s">
        <v>458</v>
      </c>
      <c r="AW131" s="204" t="s">
        <v>1248</v>
      </c>
      <c r="AX131" s="204" t="s">
        <v>1253</v>
      </c>
      <c r="AY131" s="204" t="s">
        <v>1248</v>
      </c>
      <c r="AZ131" s="204" t="s">
        <v>1248</v>
      </c>
      <c r="BA131" s="204" t="s">
        <v>1248</v>
      </c>
      <c r="BB131" s="204" t="s">
        <v>458</v>
      </c>
      <c r="BC131" s="353">
        <v>5000</v>
      </c>
      <c r="BD131" s="353">
        <v>1000</v>
      </c>
      <c r="BE131" s="204" t="s">
        <v>723</v>
      </c>
      <c r="BF131" s="353">
        <v>0</v>
      </c>
      <c r="BG131" s="204" t="s">
        <v>1248</v>
      </c>
      <c r="BH131" s="204" t="s">
        <v>1296</v>
      </c>
      <c r="BI131" s="204" t="s">
        <v>802</v>
      </c>
      <c r="BK131" s="353">
        <v>0</v>
      </c>
      <c r="BL131" s="353">
        <v>0</v>
      </c>
      <c r="BM131" s="353">
        <v>0</v>
      </c>
      <c r="BN131" s="353">
        <v>0</v>
      </c>
      <c r="BO131" s="353">
        <v>0</v>
      </c>
      <c r="BP131" s="353">
        <v>0</v>
      </c>
      <c r="BQ131" s="353">
        <v>0</v>
      </c>
      <c r="BT131" s="353">
        <v>0</v>
      </c>
      <c r="BU131" s="353">
        <v>0</v>
      </c>
      <c r="CA131" s="353">
        <v>0</v>
      </c>
      <c r="CB131" s="353">
        <v>302.77514383099998</v>
      </c>
      <c r="CC131" s="204" t="s">
        <v>425</v>
      </c>
      <c r="CD131" s="204" t="s">
        <v>300</v>
      </c>
      <c r="CE131" s="204" t="s">
        <v>301</v>
      </c>
      <c r="CF131" s="204" t="s">
        <v>1068</v>
      </c>
      <c r="CG131" s="204" t="s">
        <v>1256</v>
      </c>
      <c r="CH131" s="204" t="s">
        <v>1298</v>
      </c>
      <c r="CI131" s="204" t="s">
        <v>351</v>
      </c>
      <c r="CJ131" s="204" t="s">
        <v>678</v>
      </c>
      <c r="CK131" s="353">
        <v>-9999</v>
      </c>
      <c r="CM131" s="353">
        <v>-9999</v>
      </c>
      <c r="CO131" s="353">
        <v>-9999</v>
      </c>
      <c r="CS131" s="353">
        <v>-9999</v>
      </c>
      <c r="CT131" s="353">
        <v>-9999</v>
      </c>
      <c r="CV131" s="204" t="s">
        <v>1265</v>
      </c>
      <c r="CW131" s="353">
        <v>3.4283805060700001E-3</v>
      </c>
      <c r="CX131" s="204">
        <v>1057</v>
      </c>
      <c r="CY131" s="204">
        <v>4477</v>
      </c>
      <c r="CZ131" s="204">
        <v>8034</v>
      </c>
      <c r="DA131" s="204">
        <v>6</v>
      </c>
      <c r="DB131" s="353">
        <v>3.5639999999500002E-2</v>
      </c>
      <c r="DC131" s="353">
        <v>1.5070050000100001E-5</v>
      </c>
      <c r="DD131" s="204">
        <v>10</v>
      </c>
      <c r="DE131" s="353">
        <v>0</v>
      </c>
      <c r="DF131" s="353">
        <v>0</v>
      </c>
      <c r="DG131" s="353">
        <v>0.96529797319699995</v>
      </c>
      <c r="DH131" s="353">
        <v>5098.1122504000004</v>
      </c>
    </row>
    <row r="132" spans="1:112">
      <c r="A132" s="204">
        <v>1062</v>
      </c>
      <c r="B132" s="204">
        <v>1</v>
      </c>
      <c r="C132" s="204">
        <v>16988</v>
      </c>
      <c r="D132" s="204">
        <v>0</v>
      </c>
      <c r="E132" s="204">
        <v>1062</v>
      </c>
      <c r="F132" s="204">
        <v>1</v>
      </c>
      <c r="G132" s="204">
        <v>1062</v>
      </c>
      <c r="H132" s="204" t="s">
        <v>842</v>
      </c>
      <c r="I132" s="354">
        <v>37462</v>
      </c>
      <c r="J132" s="204" t="s">
        <v>842</v>
      </c>
      <c r="K132" s="204" t="s">
        <v>1466</v>
      </c>
      <c r="L132" s="204" t="s">
        <v>1294</v>
      </c>
      <c r="M132" s="204" t="s">
        <v>843</v>
      </c>
      <c r="N132" s="353">
        <v>100</v>
      </c>
      <c r="P132" s="204" t="s">
        <v>844</v>
      </c>
      <c r="R132" s="204" t="s">
        <v>1248</v>
      </c>
      <c r="S132" s="353">
        <v>0</v>
      </c>
      <c r="T132" s="204" t="s">
        <v>682</v>
      </c>
      <c r="U132" s="204" t="s">
        <v>307</v>
      </c>
      <c r="W132" s="204" t="s">
        <v>845</v>
      </c>
      <c r="Z132" s="204" t="s">
        <v>369</v>
      </c>
      <c r="AA132" s="204" t="s">
        <v>370</v>
      </c>
      <c r="AB132" s="204" t="s">
        <v>1494</v>
      </c>
      <c r="AC132" s="204" t="s">
        <v>1278</v>
      </c>
      <c r="AD132" s="204" t="s">
        <v>384</v>
      </c>
      <c r="AE132" s="353">
        <v>250000</v>
      </c>
      <c r="AF132" s="353">
        <v>120000</v>
      </c>
      <c r="AG132" s="353">
        <v>0</v>
      </c>
      <c r="AH132" s="204" t="s">
        <v>423</v>
      </c>
      <c r="AI132" s="353">
        <v>1</v>
      </c>
      <c r="AJ132" s="353">
        <v>1</v>
      </c>
      <c r="AK132" s="353">
        <v>4</v>
      </c>
      <c r="AL132" s="353">
        <v>3</v>
      </c>
      <c r="AM132" s="353">
        <v>9</v>
      </c>
      <c r="AN132" s="204" t="s">
        <v>186</v>
      </c>
      <c r="AO132" s="204" t="s">
        <v>1261</v>
      </c>
      <c r="AP132" s="204" t="s">
        <v>1248</v>
      </c>
      <c r="AQ132" s="353">
        <v>2</v>
      </c>
      <c r="AR132" s="204" t="s">
        <v>1296</v>
      </c>
      <c r="AS132" s="204" t="s">
        <v>302</v>
      </c>
      <c r="AT132" s="204" t="s">
        <v>1282</v>
      </c>
      <c r="AU132" s="204" t="s">
        <v>1248</v>
      </c>
      <c r="AV132" s="204" t="s">
        <v>818</v>
      </c>
      <c r="AW132" s="204" t="s">
        <v>1248</v>
      </c>
      <c r="AX132" s="204" t="s">
        <v>1253</v>
      </c>
      <c r="AY132" s="204" t="s">
        <v>1248</v>
      </c>
      <c r="AZ132" s="204" t="s">
        <v>1248</v>
      </c>
      <c r="BA132" s="204" t="s">
        <v>1248</v>
      </c>
      <c r="BB132" s="204" t="s">
        <v>1416</v>
      </c>
      <c r="BC132" s="353">
        <v>5000</v>
      </c>
      <c r="BD132" s="353">
        <v>1861</v>
      </c>
      <c r="BE132" s="204" t="s">
        <v>723</v>
      </c>
      <c r="BF132" s="353">
        <v>0</v>
      </c>
      <c r="BG132" s="204" t="s">
        <v>1248</v>
      </c>
      <c r="BH132" s="204" t="s">
        <v>1248</v>
      </c>
      <c r="BI132" s="204" t="s">
        <v>723</v>
      </c>
      <c r="BK132" s="353">
        <v>0</v>
      </c>
      <c r="BL132" s="353">
        <v>0</v>
      </c>
      <c r="BM132" s="353">
        <v>0</v>
      </c>
      <c r="BN132" s="353">
        <v>0</v>
      </c>
      <c r="BO132" s="353">
        <v>0</v>
      </c>
      <c r="BP132" s="353">
        <v>0</v>
      </c>
      <c r="BQ132" s="353">
        <v>0</v>
      </c>
      <c r="BT132" s="353">
        <v>0</v>
      </c>
      <c r="BU132" s="353">
        <v>0</v>
      </c>
      <c r="CA132" s="353">
        <v>0</v>
      </c>
      <c r="CB132" s="353">
        <v>298.37649827799999</v>
      </c>
      <c r="CC132" s="204" t="s">
        <v>425</v>
      </c>
      <c r="CD132" s="204" t="s">
        <v>300</v>
      </c>
      <c r="CE132" s="204" t="s">
        <v>301</v>
      </c>
      <c r="CF132" s="204" t="s">
        <v>1068</v>
      </c>
      <c r="CG132" s="204" t="s">
        <v>1256</v>
      </c>
      <c r="CH132" s="204" t="s">
        <v>1298</v>
      </c>
      <c r="CI132" s="204" t="s">
        <v>351</v>
      </c>
      <c r="CJ132" s="204" t="s">
        <v>678</v>
      </c>
      <c r="CK132" s="353">
        <v>-9999</v>
      </c>
      <c r="CM132" s="353">
        <v>-9999</v>
      </c>
      <c r="CO132" s="353">
        <v>-9999</v>
      </c>
      <c r="CS132" s="353">
        <v>-9999</v>
      </c>
      <c r="CT132" s="353">
        <v>-9999</v>
      </c>
      <c r="CV132" s="204" t="s">
        <v>1265</v>
      </c>
      <c r="CW132" s="353">
        <v>3.4283805060700001E-3</v>
      </c>
      <c r="CX132" s="204">
        <v>1062</v>
      </c>
      <c r="CY132" s="204">
        <v>4477</v>
      </c>
      <c r="CZ132" s="204">
        <v>8034</v>
      </c>
      <c r="DA132" s="204">
        <v>6</v>
      </c>
      <c r="DB132" s="353">
        <v>3.5639999999500002E-2</v>
      </c>
      <c r="DC132" s="353">
        <v>1.5070050000100001E-5</v>
      </c>
      <c r="DD132" s="204">
        <v>10</v>
      </c>
      <c r="DE132" s="353">
        <v>0</v>
      </c>
      <c r="DF132" s="353">
        <v>0</v>
      </c>
      <c r="DG132" s="353">
        <v>0.96529797319699995</v>
      </c>
      <c r="DH132" s="353">
        <v>4957.7985297100004</v>
      </c>
    </row>
    <row r="133" spans="1:112">
      <c r="A133" s="204">
        <v>1063</v>
      </c>
      <c r="B133" s="204">
        <v>1</v>
      </c>
      <c r="C133" s="204">
        <v>17018</v>
      </c>
      <c r="D133" s="204">
        <v>0</v>
      </c>
      <c r="E133" s="204">
        <v>1063</v>
      </c>
      <c r="F133" s="204">
        <v>4</v>
      </c>
      <c r="G133" s="204">
        <v>1063</v>
      </c>
      <c r="H133" s="204" t="s">
        <v>846</v>
      </c>
      <c r="I133" s="354">
        <v>37462</v>
      </c>
      <c r="J133" s="204" t="s">
        <v>846</v>
      </c>
      <c r="K133" s="204" t="s">
        <v>1466</v>
      </c>
      <c r="L133" s="204" t="s">
        <v>1247</v>
      </c>
      <c r="M133" s="204" t="s">
        <v>847</v>
      </c>
      <c r="N133" s="353">
        <v>100</v>
      </c>
      <c r="P133" s="204" t="s">
        <v>848</v>
      </c>
      <c r="R133" s="204" t="s">
        <v>1248</v>
      </c>
      <c r="S133" s="353">
        <v>0</v>
      </c>
      <c r="T133" s="204" t="s">
        <v>831</v>
      </c>
      <c r="U133" s="204" t="s">
        <v>307</v>
      </c>
      <c r="W133" s="204" t="s">
        <v>849</v>
      </c>
      <c r="Z133" s="204" t="s">
        <v>369</v>
      </c>
      <c r="AA133" s="204" t="s">
        <v>370</v>
      </c>
      <c r="AB133" s="204" t="s">
        <v>1495</v>
      </c>
      <c r="AC133" s="204" t="s">
        <v>1278</v>
      </c>
      <c r="AD133" s="204" t="s">
        <v>384</v>
      </c>
      <c r="AE133" s="353">
        <v>33925</v>
      </c>
      <c r="AF133" s="353">
        <v>34594</v>
      </c>
      <c r="AG133" s="353">
        <v>0</v>
      </c>
      <c r="AH133" s="204" t="s">
        <v>423</v>
      </c>
      <c r="AI133" s="353">
        <v>1</v>
      </c>
      <c r="AJ133" s="353">
        <v>1</v>
      </c>
      <c r="AK133" s="353">
        <v>2</v>
      </c>
      <c r="AL133" s="353">
        <v>2</v>
      </c>
      <c r="AM133" s="353">
        <v>8</v>
      </c>
      <c r="AN133" s="204" t="s">
        <v>186</v>
      </c>
      <c r="AO133" s="204" t="s">
        <v>1261</v>
      </c>
      <c r="AP133" s="204" t="s">
        <v>1248</v>
      </c>
      <c r="AQ133" s="353">
        <v>2</v>
      </c>
      <c r="AR133" s="204" t="s">
        <v>1248</v>
      </c>
      <c r="AS133" s="204" t="s">
        <v>1248</v>
      </c>
      <c r="AT133" s="204" t="s">
        <v>1248</v>
      </c>
      <c r="AU133" s="204" t="s">
        <v>1248</v>
      </c>
      <c r="AV133" s="204" t="s">
        <v>808</v>
      </c>
      <c r="AW133" s="204" t="s">
        <v>1248</v>
      </c>
      <c r="AX133" s="204" t="s">
        <v>1253</v>
      </c>
      <c r="AZ133" s="204" t="s">
        <v>1248</v>
      </c>
      <c r="BB133" s="204" t="s">
        <v>808</v>
      </c>
      <c r="BC133" s="353">
        <v>4300</v>
      </c>
      <c r="BD133" s="353">
        <v>1220</v>
      </c>
      <c r="BE133" s="204" t="s">
        <v>723</v>
      </c>
      <c r="BF133" s="353">
        <v>0</v>
      </c>
      <c r="BG133" s="204" t="s">
        <v>1248</v>
      </c>
      <c r="BH133" s="204" t="s">
        <v>1248</v>
      </c>
      <c r="BI133" s="204" t="s">
        <v>723</v>
      </c>
      <c r="BK133" s="353">
        <v>0</v>
      </c>
      <c r="BL133" s="353">
        <v>0</v>
      </c>
      <c r="BM133" s="353">
        <v>0</v>
      </c>
      <c r="BN133" s="353">
        <v>0</v>
      </c>
      <c r="BO133" s="353">
        <v>0</v>
      </c>
      <c r="BP133" s="353">
        <v>0</v>
      </c>
      <c r="BQ133" s="353">
        <v>0</v>
      </c>
      <c r="BT133" s="353">
        <v>0</v>
      </c>
      <c r="BU133" s="353">
        <v>0</v>
      </c>
      <c r="CA133" s="353">
        <v>0</v>
      </c>
      <c r="CB133" s="353">
        <v>282.35760231799998</v>
      </c>
      <c r="CC133" s="204" t="s">
        <v>425</v>
      </c>
      <c r="CD133" s="204" t="s">
        <v>300</v>
      </c>
      <c r="CE133" s="204" t="s">
        <v>301</v>
      </c>
      <c r="CF133" s="204" t="s">
        <v>1474</v>
      </c>
      <c r="CG133" s="204" t="s">
        <v>1256</v>
      </c>
      <c r="CH133" s="204" t="s">
        <v>1298</v>
      </c>
      <c r="CI133" s="204" t="s">
        <v>359</v>
      </c>
      <c r="CJ133" s="204" t="s">
        <v>678</v>
      </c>
      <c r="CK133" s="353">
        <v>-9999</v>
      </c>
      <c r="CM133" s="353">
        <v>-9999</v>
      </c>
      <c r="CO133" s="353">
        <v>-9999</v>
      </c>
      <c r="CS133" s="353">
        <v>-9999</v>
      </c>
      <c r="CT133" s="353">
        <v>-9999</v>
      </c>
      <c r="CV133" s="204" t="s">
        <v>1475</v>
      </c>
      <c r="CW133" s="353">
        <v>1.9786861018199999E-5</v>
      </c>
      <c r="CX133" s="204">
        <v>1063</v>
      </c>
      <c r="CY133" s="204">
        <v>4477</v>
      </c>
      <c r="CZ133" s="204">
        <v>8034</v>
      </c>
      <c r="DA133" s="204">
        <v>6</v>
      </c>
      <c r="DB133" s="353">
        <v>3.5639999999500002E-2</v>
      </c>
      <c r="DC133" s="353">
        <v>1.5070050000100001E-5</v>
      </c>
      <c r="DD133" s="204">
        <v>10</v>
      </c>
      <c r="DE133" s="353">
        <v>0</v>
      </c>
      <c r="DF133" s="353">
        <v>0</v>
      </c>
      <c r="DG133" s="353">
        <v>2.1527014862E-2</v>
      </c>
      <c r="DH133" s="353">
        <v>4025.9693912299999</v>
      </c>
    </row>
    <row r="134" spans="1:112">
      <c r="A134" s="204">
        <v>1064</v>
      </c>
      <c r="B134" s="204">
        <v>3</v>
      </c>
      <c r="C134" s="204">
        <v>17019</v>
      </c>
      <c r="D134" s="204">
        <v>0</v>
      </c>
      <c r="E134" s="204">
        <v>1064</v>
      </c>
      <c r="F134" s="204">
        <v>4</v>
      </c>
      <c r="G134" s="204">
        <v>1064</v>
      </c>
      <c r="H134" s="204" t="s">
        <v>850</v>
      </c>
      <c r="I134" s="354">
        <v>37462</v>
      </c>
      <c r="J134" s="204" t="s">
        <v>850</v>
      </c>
      <c r="K134" s="204" t="s">
        <v>1466</v>
      </c>
      <c r="L134" s="204" t="s">
        <v>1294</v>
      </c>
      <c r="M134" s="204" t="s">
        <v>851</v>
      </c>
      <c r="N134" s="353">
        <v>100</v>
      </c>
      <c r="P134" s="204" t="s">
        <v>852</v>
      </c>
      <c r="R134" s="204" t="s">
        <v>1248</v>
      </c>
      <c r="S134" s="353">
        <v>0</v>
      </c>
      <c r="T134" s="204" t="s">
        <v>831</v>
      </c>
      <c r="U134" s="204" t="s">
        <v>307</v>
      </c>
      <c r="W134" s="204" t="s">
        <v>853</v>
      </c>
      <c r="Z134" s="204" t="s">
        <v>369</v>
      </c>
      <c r="AA134" s="204" t="s">
        <v>370</v>
      </c>
      <c r="AB134" s="204" t="s">
        <v>1495</v>
      </c>
      <c r="AC134" s="204" t="s">
        <v>1278</v>
      </c>
      <c r="AD134" s="204" t="s">
        <v>384</v>
      </c>
      <c r="AE134" s="353">
        <v>218120</v>
      </c>
      <c r="AF134" s="353">
        <v>44583</v>
      </c>
      <c r="AG134" s="353">
        <v>0</v>
      </c>
      <c r="AH134" s="204" t="s">
        <v>423</v>
      </c>
      <c r="AI134" s="353">
        <v>1</v>
      </c>
      <c r="AJ134" s="353">
        <v>1</v>
      </c>
      <c r="AK134" s="353">
        <v>2</v>
      </c>
      <c r="AL134" s="353">
        <v>2</v>
      </c>
      <c r="AM134" s="353">
        <v>8</v>
      </c>
      <c r="AN134" s="204" t="s">
        <v>186</v>
      </c>
      <c r="AO134" s="204" t="s">
        <v>1248</v>
      </c>
      <c r="AP134" s="204" t="s">
        <v>1271</v>
      </c>
      <c r="AQ134" s="353">
        <v>2</v>
      </c>
      <c r="AR134" s="204" t="s">
        <v>1248</v>
      </c>
      <c r="AS134" s="204" t="s">
        <v>1248</v>
      </c>
      <c r="AT134" s="204" t="s">
        <v>1248</v>
      </c>
      <c r="AU134" s="204" t="s">
        <v>1248</v>
      </c>
      <c r="AV134" s="204" t="s">
        <v>808</v>
      </c>
      <c r="AW134" s="204" t="s">
        <v>1248</v>
      </c>
      <c r="AX134" s="204" t="s">
        <v>1253</v>
      </c>
      <c r="AZ134" s="204" t="s">
        <v>1248</v>
      </c>
      <c r="BB134" s="204" t="s">
        <v>808</v>
      </c>
      <c r="BC134" s="353">
        <v>4300</v>
      </c>
      <c r="BD134" s="353">
        <v>1220</v>
      </c>
      <c r="BE134" s="204" t="s">
        <v>723</v>
      </c>
      <c r="BF134" s="353">
        <v>0</v>
      </c>
      <c r="BG134" s="204" t="s">
        <v>1248</v>
      </c>
      <c r="BH134" s="204" t="s">
        <v>1248</v>
      </c>
      <c r="BI134" s="204" t="s">
        <v>723</v>
      </c>
      <c r="BK134" s="353">
        <v>0</v>
      </c>
      <c r="BL134" s="353">
        <v>0</v>
      </c>
      <c r="BM134" s="353">
        <v>0</v>
      </c>
      <c r="BN134" s="353">
        <v>0</v>
      </c>
      <c r="BO134" s="353">
        <v>0</v>
      </c>
      <c r="BP134" s="353">
        <v>0</v>
      </c>
      <c r="BQ134" s="353">
        <v>0</v>
      </c>
      <c r="BT134" s="353">
        <v>0</v>
      </c>
      <c r="BU134" s="353">
        <v>0</v>
      </c>
      <c r="CA134" s="353">
        <v>0</v>
      </c>
      <c r="CB134" s="353">
        <v>287.92815445600002</v>
      </c>
      <c r="CC134" s="204" t="s">
        <v>425</v>
      </c>
      <c r="CD134" s="204" t="s">
        <v>300</v>
      </c>
      <c r="CE134" s="204" t="s">
        <v>301</v>
      </c>
      <c r="CF134" s="204" t="s">
        <v>1068</v>
      </c>
      <c r="CG134" s="204" t="s">
        <v>1256</v>
      </c>
      <c r="CH134" s="204" t="s">
        <v>1298</v>
      </c>
      <c r="CI134" s="204" t="s">
        <v>351</v>
      </c>
      <c r="CJ134" s="204" t="s">
        <v>678</v>
      </c>
      <c r="CK134" s="353">
        <v>-9999</v>
      </c>
      <c r="CM134" s="353">
        <v>-9999</v>
      </c>
      <c r="CO134" s="353">
        <v>-9999</v>
      </c>
      <c r="CS134" s="353">
        <v>-9999</v>
      </c>
      <c r="CT134" s="353">
        <v>-9999</v>
      </c>
      <c r="CV134" s="204" t="s">
        <v>1265</v>
      </c>
      <c r="CW134" s="353">
        <v>3.4283805060700001E-3</v>
      </c>
      <c r="CX134" s="204">
        <v>1064</v>
      </c>
      <c r="CY134" s="204">
        <v>4477</v>
      </c>
      <c r="CZ134" s="204">
        <v>8034</v>
      </c>
      <c r="DA134" s="204">
        <v>6</v>
      </c>
      <c r="DB134" s="353">
        <v>3.5639999999500002E-2</v>
      </c>
      <c r="DC134" s="353">
        <v>1.5070050000100001E-5</v>
      </c>
      <c r="DD134" s="204">
        <v>10</v>
      </c>
      <c r="DE134" s="353">
        <v>0</v>
      </c>
      <c r="DF134" s="353">
        <v>0</v>
      </c>
      <c r="DG134" s="353">
        <v>0.96529797319699995</v>
      </c>
      <c r="DH134" s="353">
        <v>4298.4425890800003</v>
      </c>
    </row>
    <row r="135" spans="1:112">
      <c r="A135" s="204">
        <v>1065</v>
      </c>
      <c r="B135" s="204">
        <v>2</v>
      </c>
      <c r="C135" s="204">
        <v>17020</v>
      </c>
      <c r="D135" s="204">
        <v>0</v>
      </c>
      <c r="E135" s="204">
        <v>1065</v>
      </c>
      <c r="F135" s="204">
        <v>4</v>
      </c>
      <c r="G135" s="204">
        <v>1065</v>
      </c>
      <c r="H135" s="204" t="s">
        <v>854</v>
      </c>
      <c r="I135" s="354">
        <v>37462</v>
      </c>
      <c r="J135" s="204" t="s">
        <v>854</v>
      </c>
      <c r="K135" s="204" t="s">
        <v>1466</v>
      </c>
      <c r="L135" s="204" t="s">
        <v>302</v>
      </c>
      <c r="M135" s="204" t="s">
        <v>855</v>
      </c>
      <c r="N135" s="353">
        <v>100</v>
      </c>
      <c r="O135" s="204" t="s">
        <v>1496</v>
      </c>
      <c r="P135" s="204" t="s">
        <v>856</v>
      </c>
      <c r="R135" s="204" t="s">
        <v>1248</v>
      </c>
      <c r="S135" s="353">
        <v>0</v>
      </c>
      <c r="T135" s="204" t="s">
        <v>831</v>
      </c>
      <c r="U135" s="204" t="s">
        <v>307</v>
      </c>
      <c r="W135" s="204" t="s">
        <v>857</v>
      </c>
      <c r="Z135" s="204" t="s">
        <v>369</v>
      </c>
      <c r="AA135" s="204" t="s">
        <v>370</v>
      </c>
      <c r="AB135" s="204" t="s">
        <v>1495</v>
      </c>
      <c r="AC135" s="204" t="s">
        <v>1278</v>
      </c>
      <c r="AD135" s="204" t="s">
        <v>384</v>
      </c>
      <c r="AE135" s="353">
        <v>83609</v>
      </c>
      <c r="AF135" s="353">
        <v>62707</v>
      </c>
      <c r="AG135" s="353">
        <v>0</v>
      </c>
      <c r="AH135" s="204" t="s">
        <v>423</v>
      </c>
      <c r="AI135" s="353">
        <v>1</v>
      </c>
      <c r="AJ135" s="353">
        <v>1</v>
      </c>
      <c r="AK135" s="353">
        <v>2</v>
      </c>
      <c r="AL135" s="353">
        <v>2</v>
      </c>
      <c r="AM135" s="353">
        <v>10</v>
      </c>
      <c r="AN135" s="204" t="s">
        <v>186</v>
      </c>
      <c r="AO135" s="204" t="s">
        <v>1261</v>
      </c>
      <c r="AP135" s="204" t="s">
        <v>1248</v>
      </c>
      <c r="AQ135" s="353">
        <v>2</v>
      </c>
      <c r="AR135" s="204" t="s">
        <v>1248</v>
      </c>
      <c r="AS135" s="204" t="s">
        <v>1248</v>
      </c>
      <c r="AT135" s="204" t="s">
        <v>1248</v>
      </c>
      <c r="AU135" s="204" t="s">
        <v>1248</v>
      </c>
      <c r="AV135" s="204" t="s">
        <v>808</v>
      </c>
      <c r="AW135" s="204" t="s">
        <v>1248</v>
      </c>
      <c r="AX135" s="204" t="s">
        <v>1253</v>
      </c>
      <c r="AY135" s="204" t="s">
        <v>1261</v>
      </c>
      <c r="AZ135" s="204" t="s">
        <v>1248</v>
      </c>
      <c r="BA135" s="204" t="s">
        <v>1248</v>
      </c>
      <c r="BB135" s="204" t="s">
        <v>808</v>
      </c>
      <c r="BC135" s="353">
        <v>4700</v>
      </c>
      <c r="BD135" s="353">
        <v>1220</v>
      </c>
      <c r="BE135" s="204" t="s">
        <v>723</v>
      </c>
      <c r="BF135" s="353">
        <v>0</v>
      </c>
      <c r="BG135" s="204" t="s">
        <v>1248</v>
      </c>
      <c r="BH135" s="204" t="s">
        <v>1248</v>
      </c>
      <c r="BI135" s="204" t="s">
        <v>723</v>
      </c>
      <c r="BK135" s="353">
        <v>0</v>
      </c>
      <c r="BL135" s="353">
        <v>0</v>
      </c>
      <c r="BM135" s="353">
        <v>0</v>
      </c>
      <c r="BN135" s="353">
        <v>0</v>
      </c>
      <c r="BO135" s="353">
        <v>0</v>
      </c>
      <c r="BP135" s="353">
        <v>0</v>
      </c>
      <c r="BQ135" s="353">
        <v>0</v>
      </c>
      <c r="BT135" s="353">
        <v>0</v>
      </c>
      <c r="BU135" s="353">
        <v>0</v>
      </c>
      <c r="CA135" s="353">
        <v>0</v>
      </c>
      <c r="CB135" s="353">
        <v>286.74152672399998</v>
      </c>
      <c r="CC135" s="204" t="s">
        <v>425</v>
      </c>
      <c r="CD135" s="204" t="s">
        <v>300</v>
      </c>
      <c r="CE135" s="204" t="s">
        <v>301</v>
      </c>
      <c r="CF135" s="204" t="s">
        <v>1068</v>
      </c>
      <c r="CG135" s="204" t="s">
        <v>1256</v>
      </c>
      <c r="CH135" s="204" t="s">
        <v>1298</v>
      </c>
      <c r="CI135" s="204" t="s">
        <v>351</v>
      </c>
      <c r="CJ135" s="204" t="s">
        <v>678</v>
      </c>
      <c r="CK135" s="353">
        <v>-9999</v>
      </c>
      <c r="CM135" s="353">
        <v>-9999</v>
      </c>
      <c r="CO135" s="353">
        <v>-9999</v>
      </c>
      <c r="CS135" s="353">
        <v>-9999</v>
      </c>
      <c r="CT135" s="353">
        <v>-9999</v>
      </c>
      <c r="CV135" s="204" t="s">
        <v>1265</v>
      </c>
      <c r="CW135" s="353">
        <v>3.4283805060700001E-3</v>
      </c>
      <c r="CX135" s="204">
        <v>1065</v>
      </c>
      <c r="CY135" s="204">
        <v>4477</v>
      </c>
      <c r="CZ135" s="204">
        <v>8034</v>
      </c>
      <c r="DA135" s="204">
        <v>6</v>
      </c>
      <c r="DB135" s="353">
        <v>3.5639999999500002E-2</v>
      </c>
      <c r="DC135" s="353">
        <v>1.5070050000100001E-5</v>
      </c>
      <c r="DD135" s="204">
        <v>10</v>
      </c>
      <c r="DE135" s="353">
        <v>0</v>
      </c>
      <c r="DF135" s="353">
        <v>0</v>
      </c>
      <c r="DG135" s="353">
        <v>0.96529797319699995</v>
      </c>
      <c r="DH135" s="353">
        <v>4239.7041440399998</v>
      </c>
    </row>
    <row r="136" spans="1:112">
      <c r="A136" s="204">
        <v>1066</v>
      </c>
      <c r="B136" s="204">
        <v>1</v>
      </c>
      <c r="C136" s="204">
        <v>17023</v>
      </c>
      <c r="D136" s="204">
        <v>0</v>
      </c>
      <c r="E136" s="204">
        <v>1066</v>
      </c>
      <c r="F136" s="204">
        <v>4</v>
      </c>
      <c r="G136" s="204">
        <v>1066</v>
      </c>
      <c r="H136" s="204" t="s">
        <v>858</v>
      </c>
      <c r="I136" s="354">
        <v>37462</v>
      </c>
      <c r="J136" s="204" t="s">
        <v>858</v>
      </c>
      <c r="K136" s="204" t="s">
        <v>1466</v>
      </c>
      <c r="L136" s="204" t="s">
        <v>1294</v>
      </c>
      <c r="M136" s="204" t="s">
        <v>859</v>
      </c>
      <c r="N136" s="353">
        <v>100</v>
      </c>
      <c r="P136" s="204" t="s">
        <v>860</v>
      </c>
      <c r="R136" s="204" t="s">
        <v>1248</v>
      </c>
      <c r="S136" s="353">
        <v>0</v>
      </c>
      <c r="T136" s="204" t="s">
        <v>687</v>
      </c>
      <c r="U136" s="204" t="s">
        <v>294</v>
      </c>
      <c r="W136" s="204" t="s">
        <v>861</v>
      </c>
      <c r="X136" s="204" t="s">
        <v>1497</v>
      </c>
      <c r="Z136" s="204" t="s">
        <v>369</v>
      </c>
      <c r="AA136" s="204" t="s">
        <v>370</v>
      </c>
      <c r="AB136" s="204" t="s">
        <v>1498</v>
      </c>
      <c r="AC136" s="204" t="s">
        <v>1278</v>
      </c>
      <c r="AD136" s="204" t="s">
        <v>384</v>
      </c>
      <c r="AE136" s="353">
        <v>104512</v>
      </c>
      <c r="AF136" s="353">
        <v>70545</v>
      </c>
      <c r="AG136" s="353">
        <v>0</v>
      </c>
      <c r="AH136" s="204" t="s">
        <v>423</v>
      </c>
      <c r="AI136" s="353">
        <v>1</v>
      </c>
      <c r="AJ136" s="353">
        <v>1</v>
      </c>
      <c r="AK136" s="353">
        <v>2</v>
      </c>
      <c r="AL136" s="353">
        <v>2</v>
      </c>
      <c r="AM136" s="353">
        <v>6</v>
      </c>
      <c r="AN136" s="204" t="s">
        <v>186</v>
      </c>
      <c r="AO136" s="204" t="s">
        <v>1248</v>
      </c>
      <c r="AP136" s="204" t="s">
        <v>1248</v>
      </c>
      <c r="AQ136" s="353">
        <v>0</v>
      </c>
      <c r="AR136" s="204" t="s">
        <v>1248</v>
      </c>
      <c r="AS136" s="204" t="s">
        <v>1248</v>
      </c>
      <c r="AT136" s="204" t="s">
        <v>1248</v>
      </c>
      <c r="AU136" s="204" t="s">
        <v>1248</v>
      </c>
      <c r="AV136" s="204" t="s">
        <v>808</v>
      </c>
      <c r="AW136" s="204" t="s">
        <v>1248</v>
      </c>
      <c r="AX136" s="204" t="s">
        <v>1253</v>
      </c>
      <c r="AY136" s="204" t="s">
        <v>1248</v>
      </c>
      <c r="AZ136" s="204" t="s">
        <v>1248</v>
      </c>
      <c r="BA136" s="204" t="s">
        <v>1248</v>
      </c>
      <c r="BB136" s="204" t="s">
        <v>808</v>
      </c>
      <c r="BC136" s="353">
        <v>4200</v>
      </c>
      <c r="BD136" s="353">
        <v>1250</v>
      </c>
      <c r="BE136" s="204" t="s">
        <v>723</v>
      </c>
      <c r="BF136" s="353">
        <v>0</v>
      </c>
      <c r="BG136" s="204" t="s">
        <v>1248</v>
      </c>
      <c r="BH136" s="204" t="s">
        <v>1248</v>
      </c>
      <c r="BI136" s="204" t="s">
        <v>723</v>
      </c>
      <c r="BK136" s="353">
        <v>0</v>
      </c>
      <c r="BL136" s="353">
        <v>0</v>
      </c>
      <c r="BM136" s="353">
        <v>0</v>
      </c>
      <c r="BN136" s="353">
        <v>0</v>
      </c>
      <c r="BO136" s="353">
        <v>0</v>
      </c>
      <c r="BP136" s="353">
        <v>0</v>
      </c>
      <c r="BQ136" s="353">
        <v>0</v>
      </c>
      <c r="BT136" s="353">
        <v>0</v>
      </c>
      <c r="BU136" s="353">
        <v>0</v>
      </c>
      <c r="CA136" s="353">
        <v>0</v>
      </c>
      <c r="CB136" s="353">
        <v>286.93169463999999</v>
      </c>
      <c r="CC136" s="204" t="s">
        <v>425</v>
      </c>
      <c r="CD136" s="204" t="s">
        <v>300</v>
      </c>
      <c r="CE136" s="204" t="s">
        <v>301</v>
      </c>
      <c r="CF136" s="204" t="s">
        <v>1474</v>
      </c>
      <c r="CG136" s="204" t="s">
        <v>1256</v>
      </c>
      <c r="CH136" s="204" t="s">
        <v>1298</v>
      </c>
      <c r="CI136" s="204" t="s">
        <v>359</v>
      </c>
      <c r="CJ136" s="204" t="s">
        <v>678</v>
      </c>
      <c r="CK136" s="353">
        <v>-9999</v>
      </c>
      <c r="CM136" s="353">
        <v>-9999</v>
      </c>
      <c r="CO136" s="353">
        <v>-9999</v>
      </c>
      <c r="CS136" s="353">
        <v>-9999</v>
      </c>
      <c r="CT136" s="353">
        <v>-9999</v>
      </c>
      <c r="CV136" s="204" t="s">
        <v>1475</v>
      </c>
      <c r="CW136" s="353">
        <v>1.9786861018199999E-5</v>
      </c>
      <c r="CX136" s="204">
        <v>1066</v>
      </c>
      <c r="CY136" s="204">
        <v>4477</v>
      </c>
      <c r="CZ136" s="204">
        <v>8034</v>
      </c>
      <c r="DA136" s="204">
        <v>6</v>
      </c>
      <c r="DB136" s="353">
        <v>3.5639999999500002E-2</v>
      </c>
      <c r="DC136" s="353">
        <v>1.5070050000100001E-5</v>
      </c>
      <c r="DD136" s="204">
        <v>10</v>
      </c>
      <c r="DE136" s="353">
        <v>0</v>
      </c>
      <c r="DF136" s="353">
        <v>0</v>
      </c>
      <c r="DG136" s="353">
        <v>2.1527014862E-2</v>
      </c>
      <c r="DH136" s="353">
        <v>4355.1836674300002</v>
      </c>
    </row>
    <row r="137" spans="1:112">
      <c r="A137" s="204">
        <v>1067</v>
      </c>
      <c r="B137" s="204">
        <v>1</v>
      </c>
      <c r="C137" s="204">
        <v>17024</v>
      </c>
      <c r="D137" s="204">
        <v>0</v>
      </c>
      <c r="E137" s="204">
        <v>1067</v>
      </c>
      <c r="F137" s="204">
        <v>4</v>
      </c>
      <c r="G137" s="204">
        <v>1067</v>
      </c>
      <c r="H137" s="204" t="s">
        <v>862</v>
      </c>
      <c r="I137" s="354">
        <v>37462</v>
      </c>
      <c r="J137" s="204" t="s">
        <v>862</v>
      </c>
      <c r="K137" s="204" t="s">
        <v>1466</v>
      </c>
      <c r="L137" s="204" t="s">
        <v>1294</v>
      </c>
      <c r="M137" s="204" t="s">
        <v>859</v>
      </c>
      <c r="N137" s="353">
        <v>100</v>
      </c>
      <c r="P137" s="204" t="s">
        <v>863</v>
      </c>
      <c r="R137" s="204" t="s">
        <v>1248</v>
      </c>
      <c r="S137" s="353">
        <v>0</v>
      </c>
      <c r="T137" s="204" t="s">
        <v>687</v>
      </c>
      <c r="U137" s="204" t="s">
        <v>294</v>
      </c>
      <c r="W137" s="204" t="s">
        <v>864</v>
      </c>
      <c r="X137" s="204" t="s">
        <v>1499</v>
      </c>
      <c r="Z137" s="204" t="s">
        <v>369</v>
      </c>
      <c r="AA137" s="204" t="s">
        <v>370</v>
      </c>
      <c r="AB137" s="204" t="s">
        <v>1498</v>
      </c>
      <c r="AC137" s="204" t="s">
        <v>1278</v>
      </c>
      <c r="AD137" s="204" t="s">
        <v>384</v>
      </c>
      <c r="AE137" s="353">
        <v>104512</v>
      </c>
      <c r="AF137" s="353">
        <v>65320</v>
      </c>
      <c r="AG137" s="353">
        <v>0</v>
      </c>
      <c r="AH137" s="204" t="s">
        <v>423</v>
      </c>
      <c r="AI137" s="353">
        <v>1</v>
      </c>
      <c r="AJ137" s="353">
        <v>1</v>
      </c>
      <c r="AK137" s="353">
        <v>2</v>
      </c>
      <c r="AL137" s="353">
        <v>2</v>
      </c>
      <c r="AM137" s="353">
        <v>6</v>
      </c>
      <c r="AN137" s="204" t="s">
        <v>186</v>
      </c>
      <c r="AO137" s="204" t="s">
        <v>1248</v>
      </c>
      <c r="AP137" s="204" t="s">
        <v>1248</v>
      </c>
      <c r="AQ137" s="353">
        <v>0</v>
      </c>
      <c r="AR137" s="204" t="s">
        <v>1248</v>
      </c>
      <c r="AS137" s="204" t="s">
        <v>1248</v>
      </c>
      <c r="AT137" s="204" t="s">
        <v>1248</v>
      </c>
      <c r="AU137" s="204" t="s">
        <v>1248</v>
      </c>
      <c r="AV137" s="204" t="s">
        <v>808</v>
      </c>
      <c r="AW137" s="204" t="s">
        <v>1248</v>
      </c>
      <c r="AX137" s="204" t="s">
        <v>1253</v>
      </c>
      <c r="AY137" s="204" t="s">
        <v>1248</v>
      </c>
      <c r="AZ137" s="204" t="s">
        <v>1248</v>
      </c>
      <c r="BA137" s="204" t="s">
        <v>1248</v>
      </c>
      <c r="BB137" s="204" t="s">
        <v>808</v>
      </c>
      <c r="BC137" s="353">
        <v>4300</v>
      </c>
      <c r="BD137" s="353">
        <v>1250</v>
      </c>
      <c r="BE137" s="204" t="s">
        <v>723</v>
      </c>
      <c r="BF137" s="353">
        <v>0</v>
      </c>
      <c r="BG137" s="204" t="s">
        <v>1248</v>
      </c>
      <c r="BH137" s="204" t="s">
        <v>1248</v>
      </c>
      <c r="BI137" s="204" t="s">
        <v>723</v>
      </c>
      <c r="BK137" s="353">
        <v>0</v>
      </c>
      <c r="BL137" s="353">
        <v>0</v>
      </c>
      <c r="BM137" s="353">
        <v>0</v>
      </c>
      <c r="BN137" s="353">
        <v>0</v>
      </c>
      <c r="BO137" s="353">
        <v>0</v>
      </c>
      <c r="BP137" s="353">
        <v>0</v>
      </c>
      <c r="BQ137" s="353">
        <v>0</v>
      </c>
      <c r="BT137" s="353">
        <v>0</v>
      </c>
      <c r="BU137" s="353">
        <v>0</v>
      </c>
      <c r="CA137" s="353">
        <v>0</v>
      </c>
      <c r="CB137" s="353">
        <v>284.78067404199999</v>
      </c>
      <c r="CC137" s="204" t="s">
        <v>425</v>
      </c>
      <c r="CD137" s="204" t="s">
        <v>300</v>
      </c>
      <c r="CE137" s="204" t="s">
        <v>301</v>
      </c>
      <c r="CF137" s="204" t="s">
        <v>1474</v>
      </c>
      <c r="CG137" s="204" t="s">
        <v>1256</v>
      </c>
      <c r="CH137" s="204" t="s">
        <v>1298</v>
      </c>
      <c r="CI137" s="204" t="s">
        <v>359</v>
      </c>
      <c r="CJ137" s="204" t="s">
        <v>678</v>
      </c>
      <c r="CK137" s="353">
        <v>-9999</v>
      </c>
      <c r="CM137" s="353">
        <v>-9999</v>
      </c>
      <c r="CO137" s="353">
        <v>-9999</v>
      </c>
      <c r="CS137" s="353">
        <v>-9999</v>
      </c>
      <c r="CT137" s="353">
        <v>-9999</v>
      </c>
      <c r="CV137" s="204" t="s">
        <v>1475</v>
      </c>
      <c r="CW137" s="353">
        <v>1.9786861018199999E-5</v>
      </c>
      <c r="CX137" s="204">
        <v>1067</v>
      </c>
      <c r="CY137" s="204">
        <v>4477</v>
      </c>
      <c r="CZ137" s="204">
        <v>8034</v>
      </c>
      <c r="DA137" s="204">
        <v>6</v>
      </c>
      <c r="DB137" s="353">
        <v>3.5639999999500002E-2</v>
      </c>
      <c r="DC137" s="353">
        <v>1.5070050000100001E-5</v>
      </c>
      <c r="DD137" s="204">
        <v>10</v>
      </c>
      <c r="DE137" s="353">
        <v>0</v>
      </c>
      <c r="DF137" s="353">
        <v>0</v>
      </c>
      <c r="DG137" s="353">
        <v>2.1527014862E-2</v>
      </c>
      <c r="DH137" s="353">
        <v>4250.5467933600003</v>
      </c>
    </row>
    <row r="138" spans="1:112">
      <c r="A138" s="204">
        <v>1068</v>
      </c>
      <c r="B138" s="204">
        <v>2</v>
      </c>
      <c r="C138" s="204">
        <v>17025</v>
      </c>
      <c r="D138" s="204">
        <v>0</v>
      </c>
      <c r="E138" s="204">
        <v>1068</v>
      </c>
      <c r="F138" s="204">
        <v>4</v>
      </c>
      <c r="G138" s="204">
        <v>1068</v>
      </c>
      <c r="H138" s="204" t="s">
        <v>865</v>
      </c>
      <c r="I138" s="354">
        <v>37462</v>
      </c>
      <c r="J138" s="204" t="s">
        <v>865</v>
      </c>
      <c r="K138" s="204" t="s">
        <v>1466</v>
      </c>
      <c r="L138" s="204" t="s">
        <v>1288</v>
      </c>
      <c r="M138" s="204" t="s">
        <v>866</v>
      </c>
      <c r="N138" s="353">
        <v>100</v>
      </c>
      <c r="P138" s="204" t="s">
        <v>867</v>
      </c>
      <c r="R138" s="204" t="s">
        <v>1248</v>
      </c>
      <c r="S138" s="353">
        <v>0</v>
      </c>
      <c r="T138" s="204" t="s">
        <v>831</v>
      </c>
      <c r="U138" s="204" t="s">
        <v>307</v>
      </c>
      <c r="W138" s="204" t="s">
        <v>868</v>
      </c>
      <c r="X138" s="204" t="s">
        <v>1500</v>
      </c>
      <c r="Z138" s="204" t="s">
        <v>369</v>
      </c>
      <c r="AA138" s="204" t="s">
        <v>370</v>
      </c>
      <c r="AB138" s="204" t="s">
        <v>861</v>
      </c>
      <c r="AC138" s="204" t="s">
        <v>1278</v>
      </c>
      <c r="AD138" s="204" t="s">
        <v>384</v>
      </c>
      <c r="AE138" s="353">
        <v>79206</v>
      </c>
      <c r="AF138" s="353">
        <v>33931</v>
      </c>
      <c r="AG138" s="353">
        <v>0</v>
      </c>
      <c r="AH138" s="204" t="s">
        <v>423</v>
      </c>
      <c r="AI138" s="353">
        <v>1</v>
      </c>
      <c r="AJ138" s="353">
        <v>1</v>
      </c>
      <c r="AK138" s="353">
        <v>2</v>
      </c>
      <c r="AL138" s="353">
        <v>2</v>
      </c>
      <c r="AM138" s="353">
        <v>6</v>
      </c>
      <c r="AN138" s="204" t="s">
        <v>1310</v>
      </c>
      <c r="AO138" s="204" t="s">
        <v>1248</v>
      </c>
      <c r="AP138" s="204" t="s">
        <v>1248</v>
      </c>
      <c r="AQ138" s="353">
        <v>0</v>
      </c>
      <c r="AR138" s="204" t="s">
        <v>1248</v>
      </c>
      <c r="AS138" s="204" t="s">
        <v>1248</v>
      </c>
      <c r="AT138" s="204" t="s">
        <v>1248</v>
      </c>
      <c r="AU138" s="204" t="s">
        <v>1248</v>
      </c>
      <c r="AV138" s="204" t="s">
        <v>808</v>
      </c>
      <c r="AW138" s="204" t="s">
        <v>1248</v>
      </c>
      <c r="AX138" s="204" t="s">
        <v>1253</v>
      </c>
      <c r="AZ138" s="204" t="s">
        <v>1248</v>
      </c>
      <c r="BB138" s="204" t="s">
        <v>766</v>
      </c>
      <c r="BC138" s="353">
        <v>4900</v>
      </c>
      <c r="BD138" s="353">
        <v>1250</v>
      </c>
      <c r="BE138" s="204" t="s">
        <v>723</v>
      </c>
      <c r="BF138" s="353">
        <v>0</v>
      </c>
      <c r="BG138" s="204" t="s">
        <v>1248</v>
      </c>
      <c r="BH138" s="204" t="s">
        <v>1248</v>
      </c>
      <c r="BI138" s="204" t="s">
        <v>723</v>
      </c>
      <c r="BK138" s="353">
        <v>0</v>
      </c>
      <c r="BL138" s="353">
        <v>0</v>
      </c>
      <c r="BM138" s="353">
        <v>0</v>
      </c>
      <c r="BN138" s="353">
        <v>0</v>
      </c>
      <c r="BO138" s="353">
        <v>0</v>
      </c>
      <c r="BP138" s="353">
        <v>0</v>
      </c>
      <c r="BQ138" s="353">
        <v>0</v>
      </c>
      <c r="BT138" s="353">
        <v>0</v>
      </c>
      <c r="BU138" s="353">
        <v>0</v>
      </c>
      <c r="CA138" s="353">
        <v>0</v>
      </c>
      <c r="CB138" s="353">
        <v>293.75945888299998</v>
      </c>
      <c r="CC138" s="204" t="s">
        <v>425</v>
      </c>
      <c r="CD138" s="204" t="s">
        <v>300</v>
      </c>
      <c r="CE138" s="204" t="s">
        <v>301</v>
      </c>
      <c r="CF138" s="204" t="s">
        <v>1068</v>
      </c>
      <c r="CG138" s="204" t="s">
        <v>1256</v>
      </c>
      <c r="CH138" s="204" t="s">
        <v>1298</v>
      </c>
      <c r="CI138" s="204" t="s">
        <v>351</v>
      </c>
      <c r="CJ138" s="204" t="s">
        <v>678</v>
      </c>
      <c r="CK138" s="353">
        <v>-9999</v>
      </c>
      <c r="CM138" s="353">
        <v>-9999</v>
      </c>
      <c r="CO138" s="353">
        <v>-9999</v>
      </c>
      <c r="CS138" s="353">
        <v>-9999</v>
      </c>
      <c r="CT138" s="353">
        <v>-9999</v>
      </c>
      <c r="CV138" s="204" t="s">
        <v>1265</v>
      </c>
      <c r="CW138" s="353">
        <v>3.4283805060700001E-3</v>
      </c>
      <c r="CX138" s="204">
        <v>1068</v>
      </c>
      <c r="CY138" s="204">
        <v>4477</v>
      </c>
      <c r="CZ138" s="204">
        <v>8034</v>
      </c>
      <c r="DA138" s="204">
        <v>6</v>
      </c>
      <c r="DB138" s="353">
        <v>3.5639999999500002E-2</v>
      </c>
      <c r="DC138" s="353">
        <v>1.5070050000100001E-5</v>
      </c>
      <c r="DD138" s="204">
        <v>10</v>
      </c>
      <c r="DE138" s="353">
        <v>0</v>
      </c>
      <c r="DF138" s="353">
        <v>0</v>
      </c>
      <c r="DG138" s="353">
        <v>0.96529797319699995</v>
      </c>
      <c r="DH138" s="353">
        <v>4690.6610392000002</v>
      </c>
    </row>
    <row r="139" spans="1:112">
      <c r="A139" s="204">
        <v>1069</v>
      </c>
      <c r="B139" s="204">
        <v>2</v>
      </c>
      <c r="C139" s="204">
        <v>17026</v>
      </c>
      <c r="D139" s="204">
        <v>0</v>
      </c>
      <c r="E139" s="204">
        <v>1069</v>
      </c>
      <c r="F139" s="204">
        <v>3</v>
      </c>
      <c r="G139" s="204">
        <v>1069</v>
      </c>
      <c r="H139" s="204" t="s">
        <v>943</v>
      </c>
      <c r="I139" s="354">
        <v>37462</v>
      </c>
      <c r="J139" s="204" t="s">
        <v>943</v>
      </c>
      <c r="K139" s="204" t="s">
        <v>1466</v>
      </c>
      <c r="L139" s="204" t="s">
        <v>1271</v>
      </c>
      <c r="M139" s="204" t="s">
        <v>944</v>
      </c>
      <c r="N139" s="353">
        <v>100</v>
      </c>
      <c r="P139" s="204" t="s">
        <v>945</v>
      </c>
      <c r="R139" s="204" t="s">
        <v>1248</v>
      </c>
      <c r="S139" s="353">
        <v>0</v>
      </c>
      <c r="T139" s="204" t="s">
        <v>682</v>
      </c>
      <c r="U139" s="204" t="s">
        <v>307</v>
      </c>
      <c r="W139" s="204" t="s">
        <v>853</v>
      </c>
      <c r="Z139" s="204" t="s">
        <v>369</v>
      </c>
      <c r="AA139" s="204" t="s">
        <v>370</v>
      </c>
      <c r="AB139" s="204" t="s">
        <v>1501</v>
      </c>
      <c r="AC139" s="204" t="s">
        <v>1250</v>
      </c>
      <c r="AD139" s="204" t="s">
        <v>1251</v>
      </c>
      <c r="AE139" s="353">
        <v>73533</v>
      </c>
      <c r="AF139" s="353">
        <v>252117</v>
      </c>
      <c r="AG139" s="353">
        <v>0</v>
      </c>
      <c r="AH139" s="204" t="s">
        <v>298</v>
      </c>
      <c r="AI139" s="353">
        <v>1</v>
      </c>
      <c r="AJ139" s="353">
        <v>1</v>
      </c>
      <c r="AK139" s="353">
        <v>0</v>
      </c>
      <c r="AL139" s="353">
        <v>0</v>
      </c>
      <c r="AM139" s="353">
        <v>0</v>
      </c>
      <c r="AQ139" s="353">
        <v>0</v>
      </c>
      <c r="BC139" s="353">
        <v>0</v>
      </c>
      <c r="BD139" s="353">
        <v>0</v>
      </c>
      <c r="BF139" s="353">
        <v>0</v>
      </c>
      <c r="BG139" s="204" t="s">
        <v>1248</v>
      </c>
      <c r="BH139" s="204" t="s">
        <v>1248</v>
      </c>
      <c r="BJ139" s="204" t="s">
        <v>1252</v>
      </c>
      <c r="BK139" s="353">
        <v>3002</v>
      </c>
      <c r="BL139" s="353">
        <v>2</v>
      </c>
      <c r="BM139" s="353">
        <v>4</v>
      </c>
      <c r="BN139" s="353">
        <v>0</v>
      </c>
      <c r="BO139" s="353">
        <v>4</v>
      </c>
      <c r="BP139" s="353">
        <v>0</v>
      </c>
      <c r="BQ139" s="353">
        <v>751</v>
      </c>
      <c r="BR139" s="204" t="s">
        <v>1248</v>
      </c>
      <c r="BS139" s="204" t="s">
        <v>1271</v>
      </c>
      <c r="BT139" s="353">
        <v>4</v>
      </c>
      <c r="BU139" s="353">
        <v>5300</v>
      </c>
      <c r="BV139" s="204" t="s">
        <v>1248</v>
      </c>
      <c r="BW139" s="204" t="s">
        <v>1253</v>
      </c>
      <c r="BX139" s="204" t="s">
        <v>1248</v>
      </c>
      <c r="BY139" s="204" t="s">
        <v>1248</v>
      </c>
      <c r="BZ139" s="204" t="s">
        <v>1502</v>
      </c>
      <c r="CA139" s="353">
        <v>3002</v>
      </c>
      <c r="CB139" s="353">
        <v>311.04205779900002</v>
      </c>
      <c r="CC139" s="204" t="s">
        <v>517</v>
      </c>
      <c r="CD139" s="204" t="s">
        <v>300</v>
      </c>
      <c r="CE139" s="204" t="s">
        <v>301</v>
      </c>
      <c r="CF139" s="204" t="s">
        <v>1068</v>
      </c>
      <c r="CG139" s="204" t="s">
        <v>1256</v>
      </c>
      <c r="CH139" s="204" t="s">
        <v>1298</v>
      </c>
      <c r="CI139" s="204" t="s">
        <v>351</v>
      </c>
      <c r="CJ139" s="204" t="s">
        <v>678</v>
      </c>
      <c r="CK139" s="353">
        <v>-9999</v>
      </c>
      <c r="CM139" s="353">
        <v>-9999</v>
      </c>
      <c r="CO139" s="353">
        <v>-9999</v>
      </c>
      <c r="CS139" s="353">
        <v>-9999</v>
      </c>
      <c r="CT139" s="353">
        <v>-9999</v>
      </c>
      <c r="CV139" s="204" t="s">
        <v>1265</v>
      </c>
      <c r="CW139" s="353">
        <v>3.4283805060700001E-3</v>
      </c>
      <c r="CX139" s="204">
        <v>1069</v>
      </c>
      <c r="CY139" s="204">
        <v>4477</v>
      </c>
      <c r="CZ139" s="204">
        <v>8034</v>
      </c>
      <c r="DA139" s="204">
        <v>6</v>
      </c>
      <c r="DB139" s="353">
        <v>3.5639999999500002E-2</v>
      </c>
      <c r="DC139" s="353">
        <v>1.5070050000100001E-5</v>
      </c>
      <c r="DD139" s="204">
        <v>10</v>
      </c>
      <c r="DE139" s="353">
        <v>0</v>
      </c>
      <c r="DF139" s="353">
        <v>0</v>
      </c>
      <c r="DG139" s="353">
        <v>0.96529797319699995</v>
      </c>
      <c r="DH139" s="353">
        <v>5533.2488058400004</v>
      </c>
    </row>
    <row r="140" spans="1:112">
      <c r="A140" s="204">
        <v>1070</v>
      </c>
      <c r="B140" s="204">
        <v>2</v>
      </c>
      <c r="C140" s="204">
        <v>17027</v>
      </c>
      <c r="D140" s="204">
        <v>0</v>
      </c>
      <c r="E140" s="204">
        <v>1070</v>
      </c>
      <c r="F140" s="204">
        <v>3</v>
      </c>
      <c r="G140" s="204">
        <v>1070</v>
      </c>
      <c r="H140" s="204" t="s">
        <v>946</v>
      </c>
      <c r="I140" s="354">
        <v>37462</v>
      </c>
      <c r="J140" s="204" t="s">
        <v>946</v>
      </c>
      <c r="K140" s="204" t="s">
        <v>1466</v>
      </c>
      <c r="L140" s="204" t="s">
        <v>1247</v>
      </c>
      <c r="M140" s="204" t="s">
        <v>947</v>
      </c>
      <c r="N140" s="353">
        <v>100</v>
      </c>
      <c r="P140" s="204" t="s">
        <v>948</v>
      </c>
      <c r="R140" s="204" t="s">
        <v>1248</v>
      </c>
      <c r="S140" s="353">
        <v>0</v>
      </c>
      <c r="T140" s="204" t="s">
        <v>687</v>
      </c>
      <c r="U140" s="204" t="s">
        <v>294</v>
      </c>
      <c r="W140" s="204" t="s">
        <v>949</v>
      </c>
      <c r="Z140" s="204" t="s">
        <v>369</v>
      </c>
      <c r="AA140" s="204" t="s">
        <v>370</v>
      </c>
      <c r="AB140" s="204" t="s">
        <v>1503</v>
      </c>
      <c r="AC140" s="204" t="s">
        <v>1250</v>
      </c>
      <c r="AD140" s="204" t="s">
        <v>1251</v>
      </c>
      <c r="AE140" s="353">
        <v>84037</v>
      </c>
      <c r="AF140" s="353">
        <v>319349</v>
      </c>
      <c r="AG140" s="353">
        <v>0</v>
      </c>
      <c r="AH140" s="204" t="s">
        <v>298</v>
      </c>
      <c r="AI140" s="353">
        <v>1</v>
      </c>
      <c r="AJ140" s="353">
        <v>1</v>
      </c>
      <c r="AK140" s="353">
        <v>0</v>
      </c>
      <c r="AL140" s="353">
        <v>0</v>
      </c>
      <c r="AM140" s="353">
        <v>0</v>
      </c>
      <c r="AQ140" s="353">
        <v>0</v>
      </c>
      <c r="BC140" s="353">
        <v>0</v>
      </c>
      <c r="BD140" s="353">
        <v>0</v>
      </c>
      <c r="BF140" s="353">
        <v>0</v>
      </c>
      <c r="BG140" s="204" t="s">
        <v>1248</v>
      </c>
      <c r="BH140" s="204" t="s">
        <v>1248</v>
      </c>
      <c r="BJ140" s="204" t="s">
        <v>1252</v>
      </c>
      <c r="BK140" s="353">
        <v>3002</v>
      </c>
      <c r="BL140" s="353">
        <v>2</v>
      </c>
      <c r="BM140" s="353">
        <v>4</v>
      </c>
      <c r="BN140" s="353">
        <v>0</v>
      </c>
      <c r="BO140" s="353">
        <v>4</v>
      </c>
      <c r="BP140" s="353">
        <v>0</v>
      </c>
      <c r="BQ140" s="353">
        <v>751</v>
      </c>
      <c r="BR140" s="204" t="s">
        <v>1248</v>
      </c>
      <c r="BS140" s="204" t="s">
        <v>1271</v>
      </c>
      <c r="BT140" s="353">
        <v>4</v>
      </c>
      <c r="BU140" s="353">
        <v>5000</v>
      </c>
      <c r="BV140" s="204" t="s">
        <v>1248</v>
      </c>
      <c r="BW140" s="204" t="s">
        <v>1253</v>
      </c>
      <c r="BX140" s="204" t="s">
        <v>1248</v>
      </c>
      <c r="BY140" s="204" t="s">
        <v>1248</v>
      </c>
      <c r="BZ140" s="204" t="s">
        <v>1254</v>
      </c>
      <c r="CA140" s="353">
        <v>3002</v>
      </c>
      <c r="CB140" s="353">
        <v>301.49855050500003</v>
      </c>
      <c r="CC140" s="204" t="s">
        <v>517</v>
      </c>
      <c r="CD140" s="204" t="s">
        <v>300</v>
      </c>
      <c r="CE140" s="204" t="s">
        <v>301</v>
      </c>
      <c r="CF140" s="204" t="s">
        <v>1068</v>
      </c>
      <c r="CG140" s="204" t="s">
        <v>1256</v>
      </c>
      <c r="CH140" s="204" t="s">
        <v>1298</v>
      </c>
      <c r="CI140" s="204" t="s">
        <v>351</v>
      </c>
      <c r="CJ140" s="204" t="s">
        <v>678</v>
      </c>
      <c r="CK140" s="353">
        <v>-9999</v>
      </c>
      <c r="CM140" s="353">
        <v>-9999</v>
      </c>
      <c r="CO140" s="353">
        <v>-9999</v>
      </c>
      <c r="CS140" s="353">
        <v>-9999</v>
      </c>
      <c r="CT140" s="353">
        <v>-9999</v>
      </c>
      <c r="CV140" s="204" t="s">
        <v>1265</v>
      </c>
      <c r="CW140" s="353">
        <v>3.4283805060700001E-3</v>
      </c>
      <c r="CX140" s="204">
        <v>1070</v>
      </c>
      <c r="CY140" s="204">
        <v>4477</v>
      </c>
      <c r="CZ140" s="204">
        <v>8034</v>
      </c>
      <c r="DA140" s="204">
        <v>6</v>
      </c>
      <c r="DB140" s="353">
        <v>3.5639999999500002E-2</v>
      </c>
      <c r="DC140" s="353">
        <v>1.5070050000100001E-5</v>
      </c>
      <c r="DD140" s="204">
        <v>10</v>
      </c>
      <c r="DE140" s="353">
        <v>0</v>
      </c>
      <c r="DF140" s="353">
        <v>0</v>
      </c>
      <c r="DG140" s="353">
        <v>0.96529797319699995</v>
      </c>
      <c r="DH140" s="353">
        <v>5066.17643039</v>
      </c>
    </row>
    <row r="141" spans="1:112">
      <c r="A141" s="204">
        <v>1071</v>
      </c>
      <c r="B141" s="204">
        <v>2</v>
      </c>
      <c r="C141" s="204">
        <v>17032</v>
      </c>
      <c r="D141" s="204">
        <v>0</v>
      </c>
      <c r="E141" s="204">
        <v>1071</v>
      </c>
      <c r="F141" s="204">
        <v>3</v>
      </c>
      <c r="G141" s="204">
        <v>1071</v>
      </c>
      <c r="H141" s="204" t="s">
        <v>869</v>
      </c>
      <c r="I141" s="354">
        <v>37462</v>
      </c>
      <c r="J141" s="204" t="s">
        <v>869</v>
      </c>
      <c r="K141" s="204" t="s">
        <v>1466</v>
      </c>
      <c r="L141" s="204" t="s">
        <v>1288</v>
      </c>
      <c r="M141" s="204" t="s">
        <v>870</v>
      </c>
      <c r="N141" s="353">
        <v>100</v>
      </c>
      <c r="P141" s="204" t="s">
        <v>871</v>
      </c>
      <c r="R141" s="204" t="s">
        <v>1248</v>
      </c>
      <c r="S141" s="353">
        <v>0</v>
      </c>
      <c r="T141" s="204" t="s">
        <v>872</v>
      </c>
      <c r="U141" s="204" t="s">
        <v>294</v>
      </c>
      <c r="W141" s="204" t="s">
        <v>873</v>
      </c>
      <c r="Z141" s="204" t="s">
        <v>369</v>
      </c>
      <c r="AA141" s="204" t="s">
        <v>370</v>
      </c>
      <c r="AB141" s="204" t="s">
        <v>1504</v>
      </c>
      <c r="AC141" s="204" t="s">
        <v>1278</v>
      </c>
      <c r="AD141" s="204" t="s">
        <v>384</v>
      </c>
      <c r="AE141" s="353">
        <v>164265</v>
      </c>
      <c r="AF141" s="353">
        <v>62124</v>
      </c>
      <c r="AG141" s="353">
        <v>0</v>
      </c>
      <c r="AH141" s="204" t="s">
        <v>423</v>
      </c>
      <c r="AI141" s="353">
        <v>1</v>
      </c>
      <c r="AJ141" s="353">
        <v>1</v>
      </c>
      <c r="AK141" s="353">
        <v>2</v>
      </c>
      <c r="AL141" s="353">
        <v>2</v>
      </c>
      <c r="AM141" s="353">
        <v>8</v>
      </c>
      <c r="AN141" s="204" t="s">
        <v>186</v>
      </c>
      <c r="AO141" s="204" t="s">
        <v>1261</v>
      </c>
      <c r="AP141" s="204" t="s">
        <v>1248</v>
      </c>
      <c r="AQ141" s="353">
        <v>2</v>
      </c>
      <c r="AR141" s="204" t="s">
        <v>1248</v>
      </c>
      <c r="AS141" s="204" t="s">
        <v>1248</v>
      </c>
      <c r="AT141" s="204" t="s">
        <v>1248</v>
      </c>
      <c r="AU141" s="204" t="s">
        <v>1248</v>
      </c>
      <c r="AV141" s="204" t="s">
        <v>808</v>
      </c>
      <c r="AW141" s="204" t="s">
        <v>1248</v>
      </c>
      <c r="AX141" s="204" t="s">
        <v>1253</v>
      </c>
      <c r="AY141" s="204" t="s">
        <v>1248</v>
      </c>
      <c r="AZ141" s="204" t="s">
        <v>1248</v>
      </c>
      <c r="BA141" s="204" t="s">
        <v>1248</v>
      </c>
      <c r="BB141" s="204" t="s">
        <v>808</v>
      </c>
      <c r="BC141" s="353">
        <v>4100</v>
      </c>
      <c r="BD141" s="353">
        <v>1220</v>
      </c>
      <c r="BE141" s="204" t="s">
        <v>723</v>
      </c>
      <c r="BF141" s="353">
        <v>0</v>
      </c>
      <c r="BG141" s="204" t="s">
        <v>1248</v>
      </c>
      <c r="BH141" s="204" t="s">
        <v>1248</v>
      </c>
      <c r="BI141" s="204" t="s">
        <v>723</v>
      </c>
      <c r="BK141" s="353">
        <v>0</v>
      </c>
      <c r="BL141" s="353">
        <v>0</v>
      </c>
      <c r="BM141" s="353">
        <v>0</v>
      </c>
      <c r="BN141" s="353">
        <v>0</v>
      </c>
      <c r="BO141" s="353">
        <v>0</v>
      </c>
      <c r="BP141" s="353">
        <v>0</v>
      </c>
      <c r="BQ141" s="353">
        <v>0</v>
      </c>
      <c r="BT141" s="353">
        <v>0</v>
      </c>
      <c r="BU141" s="353">
        <v>0</v>
      </c>
      <c r="CA141" s="353">
        <v>0</v>
      </c>
      <c r="CB141" s="353">
        <v>285.69183641699999</v>
      </c>
      <c r="CC141" s="204" t="s">
        <v>425</v>
      </c>
      <c r="CD141" s="204" t="s">
        <v>300</v>
      </c>
      <c r="CE141" s="204" t="s">
        <v>301</v>
      </c>
      <c r="CF141" s="204" t="s">
        <v>1068</v>
      </c>
      <c r="CG141" s="204" t="s">
        <v>1256</v>
      </c>
      <c r="CH141" s="204" t="s">
        <v>1298</v>
      </c>
      <c r="CI141" s="204" t="s">
        <v>351</v>
      </c>
      <c r="CJ141" s="204" t="s">
        <v>678</v>
      </c>
      <c r="CK141" s="353">
        <v>-9999</v>
      </c>
      <c r="CM141" s="353">
        <v>-9999</v>
      </c>
      <c r="CO141" s="353">
        <v>-9999</v>
      </c>
      <c r="CS141" s="353">
        <v>-9999</v>
      </c>
      <c r="CT141" s="353">
        <v>-9999</v>
      </c>
      <c r="CV141" s="204" t="s">
        <v>1265</v>
      </c>
      <c r="CW141" s="353">
        <v>3.4283805060700001E-3</v>
      </c>
      <c r="CX141" s="204">
        <v>1071</v>
      </c>
      <c r="CY141" s="204">
        <v>4477</v>
      </c>
      <c r="CZ141" s="204">
        <v>8034</v>
      </c>
      <c r="DA141" s="204">
        <v>6</v>
      </c>
      <c r="DB141" s="353">
        <v>3.5639999999500002E-2</v>
      </c>
      <c r="DC141" s="353">
        <v>1.5070050000100001E-5</v>
      </c>
      <c r="DD141" s="204">
        <v>10</v>
      </c>
      <c r="DE141" s="353">
        <v>0</v>
      </c>
      <c r="DF141" s="353">
        <v>0</v>
      </c>
      <c r="DG141" s="353">
        <v>0.96529797319699995</v>
      </c>
      <c r="DH141" s="353">
        <v>4266.7602703399998</v>
      </c>
    </row>
    <row r="142" spans="1:112">
      <c r="A142" s="204">
        <v>1072</v>
      </c>
      <c r="B142" s="204">
        <v>2</v>
      </c>
      <c r="C142" s="204">
        <v>17033</v>
      </c>
      <c r="D142" s="204">
        <v>0</v>
      </c>
      <c r="E142" s="204">
        <v>1072</v>
      </c>
      <c r="F142" s="204">
        <v>2</v>
      </c>
      <c r="G142" s="204">
        <v>1072</v>
      </c>
      <c r="H142" s="204" t="s">
        <v>874</v>
      </c>
      <c r="I142" s="354">
        <v>37462</v>
      </c>
      <c r="J142" s="204" t="s">
        <v>874</v>
      </c>
      <c r="K142" s="204" t="s">
        <v>1466</v>
      </c>
      <c r="L142" s="204" t="s">
        <v>1294</v>
      </c>
      <c r="M142" s="204" t="s">
        <v>875</v>
      </c>
      <c r="N142" s="353">
        <v>100</v>
      </c>
      <c r="P142" s="204" t="s">
        <v>876</v>
      </c>
      <c r="R142" s="204" t="s">
        <v>1248</v>
      </c>
      <c r="S142" s="353">
        <v>0</v>
      </c>
      <c r="T142" s="204" t="s">
        <v>877</v>
      </c>
      <c r="U142" s="204" t="s">
        <v>307</v>
      </c>
      <c r="W142" s="204" t="s">
        <v>878</v>
      </c>
      <c r="Z142" s="204" t="s">
        <v>369</v>
      </c>
      <c r="AA142" s="204" t="s">
        <v>370</v>
      </c>
      <c r="AB142" s="204" t="s">
        <v>1505</v>
      </c>
      <c r="AC142" s="204" t="s">
        <v>1278</v>
      </c>
      <c r="AD142" s="204" t="s">
        <v>384</v>
      </c>
      <c r="AE142" s="353">
        <v>162400</v>
      </c>
      <c r="AF142" s="353">
        <v>102600</v>
      </c>
      <c r="AG142" s="353">
        <v>0</v>
      </c>
      <c r="AH142" s="204" t="s">
        <v>423</v>
      </c>
      <c r="AI142" s="353">
        <v>1</v>
      </c>
      <c r="AJ142" s="353">
        <v>1</v>
      </c>
      <c r="AK142" s="353">
        <v>2</v>
      </c>
      <c r="AL142" s="353">
        <v>2</v>
      </c>
      <c r="AM142" s="353">
        <v>8</v>
      </c>
      <c r="AN142" s="204" t="s">
        <v>186</v>
      </c>
      <c r="AO142" s="204" t="s">
        <v>1261</v>
      </c>
      <c r="AP142" s="204" t="s">
        <v>1248</v>
      </c>
      <c r="AQ142" s="353">
        <v>2</v>
      </c>
      <c r="AR142" s="204" t="s">
        <v>1248</v>
      </c>
      <c r="AS142" s="204" t="s">
        <v>1248</v>
      </c>
      <c r="AT142" s="204" t="s">
        <v>1248</v>
      </c>
      <c r="AU142" s="204" t="s">
        <v>1248</v>
      </c>
      <c r="AV142" s="204" t="s">
        <v>808</v>
      </c>
      <c r="AW142" s="204" t="s">
        <v>1248</v>
      </c>
      <c r="AX142" s="204" t="s">
        <v>1253</v>
      </c>
      <c r="AZ142" s="204" t="s">
        <v>1248</v>
      </c>
      <c r="BB142" s="204" t="s">
        <v>808</v>
      </c>
      <c r="BC142" s="353">
        <v>4200</v>
      </c>
      <c r="BD142" s="353">
        <v>1220</v>
      </c>
      <c r="BE142" s="204" t="s">
        <v>723</v>
      </c>
      <c r="BF142" s="353">
        <v>0</v>
      </c>
      <c r="BG142" s="204" t="s">
        <v>1248</v>
      </c>
      <c r="BH142" s="204" t="s">
        <v>1248</v>
      </c>
      <c r="BI142" s="204" t="s">
        <v>723</v>
      </c>
      <c r="BK142" s="353">
        <v>0</v>
      </c>
      <c r="BL142" s="353">
        <v>0</v>
      </c>
      <c r="BM142" s="353">
        <v>0</v>
      </c>
      <c r="BN142" s="353">
        <v>0</v>
      </c>
      <c r="BO142" s="353">
        <v>0</v>
      </c>
      <c r="BP142" s="353">
        <v>0</v>
      </c>
      <c r="BQ142" s="353">
        <v>0</v>
      </c>
      <c r="BT142" s="353">
        <v>0</v>
      </c>
      <c r="BU142" s="353">
        <v>0</v>
      </c>
      <c r="CA142" s="353">
        <v>0</v>
      </c>
      <c r="CB142" s="353">
        <v>284.24002477300002</v>
      </c>
      <c r="CC142" s="204" t="s">
        <v>425</v>
      </c>
      <c r="CD142" s="204" t="s">
        <v>300</v>
      </c>
      <c r="CE142" s="204" t="s">
        <v>301</v>
      </c>
      <c r="CF142" s="204" t="s">
        <v>1068</v>
      </c>
      <c r="CG142" s="204" t="s">
        <v>1256</v>
      </c>
      <c r="CH142" s="204" t="s">
        <v>1298</v>
      </c>
      <c r="CI142" s="204" t="s">
        <v>351</v>
      </c>
      <c r="CJ142" s="204" t="s">
        <v>678</v>
      </c>
      <c r="CK142" s="353">
        <v>-9999</v>
      </c>
      <c r="CM142" s="353">
        <v>-9999</v>
      </c>
      <c r="CO142" s="353">
        <v>-9999</v>
      </c>
      <c r="CS142" s="353">
        <v>-9999</v>
      </c>
      <c r="CT142" s="353">
        <v>-9999</v>
      </c>
      <c r="CV142" s="204" t="s">
        <v>1265</v>
      </c>
      <c r="CW142" s="353">
        <v>3.4283805060700001E-3</v>
      </c>
      <c r="CX142" s="204">
        <v>1072</v>
      </c>
      <c r="CY142" s="204">
        <v>4477</v>
      </c>
      <c r="CZ142" s="204">
        <v>8034</v>
      </c>
      <c r="DA142" s="204">
        <v>6</v>
      </c>
      <c r="DB142" s="353">
        <v>3.5639999999500002E-2</v>
      </c>
      <c r="DC142" s="353">
        <v>1.5070050000100001E-5</v>
      </c>
      <c r="DD142" s="204">
        <v>10</v>
      </c>
      <c r="DE142" s="353">
        <v>0</v>
      </c>
      <c r="DF142" s="353">
        <v>0</v>
      </c>
      <c r="DG142" s="353">
        <v>0.96529797319699995</v>
      </c>
      <c r="DH142" s="353">
        <v>4197.9665948900001</v>
      </c>
    </row>
    <row r="143" spans="1:112">
      <c r="A143" s="204">
        <v>1075</v>
      </c>
      <c r="B143" s="204">
        <v>1</v>
      </c>
      <c r="C143" s="204">
        <v>17080</v>
      </c>
      <c r="D143" s="204">
        <v>0</v>
      </c>
      <c r="E143" s="204">
        <v>1075</v>
      </c>
      <c r="F143" s="204">
        <v>2</v>
      </c>
      <c r="G143" s="204">
        <v>1075</v>
      </c>
      <c r="H143" s="204" t="s">
        <v>673</v>
      </c>
      <c r="I143" s="354">
        <v>37462</v>
      </c>
      <c r="J143" s="204" t="s">
        <v>673</v>
      </c>
      <c r="K143" s="204" t="s">
        <v>1466</v>
      </c>
      <c r="L143" s="204" t="s">
        <v>1247</v>
      </c>
      <c r="M143" s="204" t="s">
        <v>674</v>
      </c>
      <c r="N143" s="353">
        <v>100</v>
      </c>
      <c r="O143" s="204" t="s">
        <v>1506</v>
      </c>
      <c r="P143" s="204" t="s">
        <v>675</v>
      </c>
      <c r="R143" s="204" t="s">
        <v>1248</v>
      </c>
      <c r="S143" s="353">
        <v>0</v>
      </c>
      <c r="T143" s="204" t="s">
        <v>676</v>
      </c>
      <c r="U143" s="204" t="s">
        <v>294</v>
      </c>
      <c r="W143" s="204" t="s">
        <v>677</v>
      </c>
      <c r="Z143" s="204" t="s">
        <v>369</v>
      </c>
      <c r="AA143" s="204" t="s">
        <v>370</v>
      </c>
      <c r="AB143" s="204" t="s">
        <v>1507</v>
      </c>
      <c r="AC143" s="204" t="s">
        <v>1259</v>
      </c>
      <c r="AD143" s="204" t="s">
        <v>1251</v>
      </c>
      <c r="AE143" s="353">
        <v>52031</v>
      </c>
      <c r="AF143" s="353">
        <v>426664</v>
      </c>
      <c r="AG143" s="353">
        <v>0</v>
      </c>
      <c r="AH143" s="204" t="s">
        <v>298</v>
      </c>
      <c r="AI143" s="353">
        <v>1</v>
      </c>
      <c r="AJ143" s="353">
        <v>1</v>
      </c>
      <c r="AK143" s="353">
        <v>0</v>
      </c>
      <c r="AL143" s="353">
        <v>0</v>
      </c>
      <c r="AM143" s="353">
        <v>0</v>
      </c>
      <c r="AQ143" s="353">
        <v>0</v>
      </c>
      <c r="BC143" s="353">
        <v>0</v>
      </c>
      <c r="BD143" s="353">
        <v>0</v>
      </c>
      <c r="BF143" s="353">
        <v>0</v>
      </c>
      <c r="BG143" s="204" t="s">
        <v>1248</v>
      </c>
      <c r="BH143" s="204" t="s">
        <v>1248</v>
      </c>
      <c r="BJ143" s="204" t="s">
        <v>1508</v>
      </c>
      <c r="BK143" s="353">
        <v>5049</v>
      </c>
      <c r="BL143" s="353">
        <v>2</v>
      </c>
      <c r="BM143" s="353">
        <v>5</v>
      </c>
      <c r="BN143" s="353">
        <v>2</v>
      </c>
      <c r="BO143" s="353">
        <v>3</v>
      </c>
      <c r="BP143" s="353">
        <v>0</v>
      </c>
      <c r="BQ143" s="353">
        <v>1009</v>
      </c>
      <c r="BR143" s="204" t="s">
        <v>1261</v>
      </c>
      <c r="BS143" s="204" t="s">
        <v>1248</v>
      </c>
      <c r="BT143" s="353">
        <v>5</v>
      </c>
      <c r="BU143" s="353">
        <v>6987</v>
      </c>
      <c r="BV143" s="204" t="s">
        <v>1248</v>
      </c>
      <c r="BW143" s="204" t="s">
        <v>1253</v>
      </c>
      <c r="BX143" s="204" t="s">
        <v>302</v>
      </c>
      <c r="BY143" s="204" t="s">
        <v>1248</v>
      </c>
      <c r="BZ143" s="204" t="s">
        <v>443</v>
      </c>
      <c r="CA143" s="353">
        <v>5049</v>
      </c>
      <c r="CB143" s="353">
        <v>352.67876383200002</v>
      </c>
      <c r="CC143" s="204" t="s">
        <v>299</v>
      </c>
      <c r="CD143" s="204" t="s">
        <v>300</v>
      </c>
      <c r="CE143" s="204" t="s">
        <v>301</v>
      </c>
      <c r="CF143" s="204" t="s">
        <v>1068</v>
      </c>
      <c r="CG143" s="204" t="s">
        <v>1256</v>
      </c>
      <c r="CH143" s="204" t="s">
        <v>1298</v>
      </c>
      <c r="CI143" s="204" t="s">
        <v>351</v>
      </c>
      <c r="CJ143" s="204" t="s">
        <v>678</v>
      </c>
      <c r="CK143" s="353">
        <v>-9999</v>
      </c>
      <c r="CM143" s="353">
        <v>-9999</v>
      </c>
      <c r="CO143" s="353">
        <v>-9999</v>
      </c>
      <c r="CS143" s="353">
        <v>-9999</v>
      </c>
      <c r="CT143" s="353">
        <v>-9999</v>
      </c>
      <c r="CV143" s="204" t="s">
        <v>1265</v>
      </c>
      <c r="CW143" s="353">
        <v>3.4283805060700001E-3</v>
      </c>
      <c r="CX143" s="204">
        <v>1075</v>
      </c>
      <c r="CY143" s="204">
        <v>4477</v>
      </c>
      <c r="CZ143" s="204">
        <v>8034</v>
      </c>
      <c r="DA143" s="204">
        <v>6</v>
      </c>
      <c r="DB143" s="353">
        <v>3.5639999999500002E-2</v>
      </c>
      <c r="DC143" s="353">
        <v>1.5070050000100001E-5</v>
      </c>
      <c r="DD143" s="204">
        <v>10</v>
      </c>
      <c r="DE143" s="353">
        <v>0</v>
      </c>
      <c r="DF143" s="353">
        <v>0</v>
      </c>
      <c r="DG143" s="353">
        <v>0.96529797319699995</v>
      </c>
      <c r="DH143" s="353">
        <v>7022.9838226900001</v>
      </c>
    </row>
    <row r="144" spans="1:112">
      <c r="A144" s="204">
        <v>1076</v>
      </c>
      <c r="B144" s="204">
        <v>1</v>
      </c>
      <c r="C144" s="204">
        <v>17094</v>
      </c>
      <c r="D144" s="204">
        <v>0</v>
      </c>
      <c r="E144" s="204">
        <v>1076</v>
      </c>
      <c r="F144" s="204">
        <v>2</v>
      </c>
      <c r="G144" s="204">
        <v>1076</v>
      </c>
      <c r="H144" s="204" t="s">
        <v>679</v>
      </c>
      <c r="I144" s="354">
        <v>37462</v>
      </c>
      <c r="J144" s="204" t="s">
        <v>679</v>
      </c>
      <c r="K144" s="204" t="s">
        <v>1466</v>
      </c>
      <c r="L144" s="204" t="s">
        <v>1294</v>
      </c>
      <c r="M144" s="204" t="s">
        <v>680</v>
      </c>
      <c r="N144" s="353">
        <v>100</v>
      </c>
      <c r="P144" s="204" t="s">
        <v>681</v>
      </c>
      <c r="R144" s="204" t="s">
        <v>1248</v>
      </c>
      <c r="S144" s="353">
        <v>0</v>
      </c>
      <c r="T144" s="204" t="s">
        <v>682</v>
      </c>
      <c r="U144" s="204" t="s">
        <v>307</v>
      </c>
      <c r="W144" s="204" t="s">
        <v>683</v>
      </c>
      <c r="Z144" s="204" t="s">
        <v>369</v>
      </c>
      <c r="AA144" s="204" t="s">
        <v>370</v>
      </c>
      <c r="AB144" s="204" t="s">
        <v>1509</v>
      </c>
      <c r="AC144" s="204" t="s">
        <v>1259</v>
      </c>
      <c r="AD144" s="204" t="s">
        <v>1251</v>
      </c>
      <c r="AE144" s="353">
        <v>33342</v>
      </c>
      <c r="AF144" s="353">
        <v>100595</v>
      </c>
      <c r="AG144" s="353">
        <v>0</v>
      </c>
      <c r="AH144" s="204" t="s">
        <v>298</v>
      </c>
      <c r="AI144" s="353">
        <v>1</v>
      </c>
      <c r="AJ144" s="353">
        <v>1</v>
      </c>
      <c r="AK144" s="353">
        <v>0</v>
      </c>
      <c r="AL144" s="353">
        <v>0</v>
      </c>
      <c r="AM144" s="353">
        <v>0</v>
      </c>
      <c r="AQ144" s="353">
        <v>0</v>
      </c>
      <c r="BC144" s="353">
        <v>0</v>
      </c>
      <c r="BD144" s="353">
        <v>0</v>
      </c>
      <c r="BF144" s="353">
        <v>0</v>
      </c>
      <c r="BG144" s="204" t="s">
        <v>1248</v>
      </c>
      <c r="BH144" s="204" t="s">
        <v>1248</v>
      </c>
      <c r="BJ144" s="204" t="s">
        <v>1270</v>
      </c>
      <c r="BK144" s="353">
        <v>4030</v>
      </c>
      <c r="BL144" s="353">
        <v>2</v>
      </c>
      <c r="BM144" s="353">
        <v>5</v>
      </c>
      <c r="BN144" s="353">
        <v>0</v>
      </c>
      <c r="BO144" s="353">
        <v>5</v>
      </c>
      <c r="BP144" s="353">
        <v>0</v>
      </c>
      <c r="BQ144" s="353">
        <v>806</v>
      </c>
      <c r="BR144" s="204" t="s">
        <v>1248</v>
      </c>
      <c r="BS144" s="204" t="s">
        <v>1271</v>
      </c>
      <c r="BT144" s="353">
        <v>5</v>
      </c>
      <c r="BU144" s="353">
        <v>7140</v>
      </c>
      <c r="BV144" s="204" t="s">
        <v>1248</v>
      </c>
      <c r="BW144" s="204" t="s">
        <v>1253</v>
      </c>
      <c r="BX144" s="204" t="s">
        <v>1248</v>
      </c>
      <c r="BY144" s="204" t="s">
        <v>1248</v>
      </c>
      <c r="CA144" s="353">
        <v>4030</v>
      </c>
      <c r="CB144" s="353">
        <v>360.35625466300002</v>
      </c>
      <c r="CC144" s="204" t="s">
        <v>299</v>
      </c>
      <c r="CD144" s="204" t="s">
        <v>300</v>
      </c>
      <c r="CE144" s="204" t="s">
        <v>301</v>
      </c>
      <c r="CF144" s="204" t="s">
        <v>1068</v>
      </c>
      <c r="CG144" s="204" t="s">
        <v>1256</v>
      </c>
      <c r="CH144" s="204" t="s">
        <v>1298</v>
      </c>
      <c r="CI144" s="204" t="s">
        <v>351</v>
      </c>
      <c r="CJ144" s="204" t="s">
        <v>678</v>
      </c>
      <c r="CK144" s="353">
        <v>-9999</v>
      </c>
      <c r="CM144" s="353">
        <v>-9999</v>
      </c>
      <c r="CO144" s="353">
        <v>-9999</v>
      </c>
      <c r="CS144" s="353">
        <v>-9999</v>
      </c>
      <c r="CT144" s="353">
        <v>-9999</v>
      </c>
      <c r="CV144" s="204" t="s">
        <v>1265</v>
      </c>
      <c r="CW144" s="353">
        <v>3.4283805060700001E-3</v>
      </c>
      <c r="CX144" s="204">
        <v>1076</v>
      </c>
      <c r="CY144" s="204">
        <v>4477</v>
      </c>
      <c r="CZ144" s="204">
        <v>8034</v>
      </c>
      <c r="DA144" s="204">
        <v>6</v>
      </c>
      <c r="DB144" s="353">
        <v>3.5639999999500002E-2</v>
      </c>
      <c r="DC144" s="353">
        <v>1.5070050000100001E-5</v>
      </c>
      <c r="DD144" s="204">
        <v>10</v>
      </c>
      <c r="DE144" s="353">
        <v>0</v>
      </c>
      <c r="DF144" s="353">
        <v>0</v>
      </c>
      <c r="DG144" s="353">
        <v>0.96529797319699995</v>
      </c>
      <c r="DH144" s="353">
        <v>6603.6613113599997</v>
      </c>
    </row>
    <row r="145" spans="1:112">
      <c r="A145" s="204">
        <v>1077</v>
      </c>
      <c r="B145" s="204">
        <v>1</v>
      </c>
      <c r="C145" s="204">
        <v>17107</v>
      </c>
      <c r="D145" s="204">
        <v>0</v>
      </c>
      <c r="E145" s="204">
        <v>1077</v>
      </c>
      <c r="F145" s="204">
        <v>4</v>
      </c>
      <c r="G145" s="204">
        <v>1077</v>
      </c>
      <c r="H145" s="204" t="s">
        <v>950</v>
      </c>
      <c r="I145" s="354">
        <v>37462</v>
      </c>
      <c r="J145" s="204" t="s">
        <v>950</v>
      </c>
      <c r="K145" s="204" t="s">
        <v>1466</v>
      </c>
      <c r="L145" s="204" t="s">
        <v>1294</v>
      </c>
      <c r="M145" s="204" t="s">
        <v>685</v>
      </c>
      <c r="N145" s="353">
        <v>100</v>
      </c>
      <c r="P145" s="204" t="s">
        <v>951</v>
      </c>
      <c r="R145" s="204" t="s">
        <v>1248</v>
      </c>
      <c r="S145" s="353">
        <v>0</v>
      </c>
      <c r="T145" s="204" t="s">
        <v>687</v>
      </c>
      <c r="U145" s="204" t="s">
        <v>294</v>
      </c>
      <c r="W145" s="204" t="s">
        <v>952</v>
      </c>
      <c r="X145" s="204" t="s">
        <v>1510</v>
      </c>
      <c r="Z145" s="204" t="s">
        <v>369</v>
      </c>
      <c r="AA145" s="204" t="s">
        <v>370</v>
      </c>
      <c r="AB145" s="204" t="s">
        <v>1511</v>
      </c>
      <c r="AC145" s="204" t="s">
        <v>1250</v>
      </c>
      <c r="AD145" s="204" t="s">
        <v>1251</v>
      </c>
      <c r="AE145" s="353">
        <v>54799</v>
      </c>
      <c r="AF145" s="353">
        <v>79463</v>
      </c>
      <c r="AG145" s="353">
        <v>0</v>
      </c>
      <c r="AH145" s="204" t="s">
        <v>298</v>
      </c>
      <c r="AI145" s="353">
        <v>1</v>
      </c>
      <c r="AJ145" s="353">
        <v>1</v>
      </c>
      <c r="AK145" s="353">
        <v>0</v>
      </c>
      <c r="AL145" s="353">
        <v>0</v>
      </c>
      <c r="AM145" s="353">
        <v>0</v>
      </c>
      <c r="AQ145" s="353">
        <v>0</v>
      </c>
      <c r="BC145" s="353">
        <v>0</v>
      </c>
      <c r="BD145" s="353">
        <v>0</v>
      </c>
      <c r="BF145" s="353">
        <v>0</v>
      </c>
      <c r="BG145" s="204" t="s">
        <v>1248</v>
      </c>
      <c r="BH145" s="204" t="s">
        <v>1248</v>
      </c>
      <c r="BJ145" s="204" t="s">
        <v>1252</v>
      </c>
      <c r="BK145" s="353">
        <v>3252</v>
      </c>
      <c r="BL145" s="353">
        <v>2</v>
      </c>
      <c r="BM145" s="353">
        <v>4</v>
      </c>
      <c r="BN145" s="353">
        <v>0</v>
      </c>
      <c r="BO145" s="353">
        <v>4</v>
      </c>
      <c r="BP145" s="353">
        <v>0</v>
      </c>
      <c r="BQ145" s="353">
        <v>813</v>
      </c>
      <c r="BR145" s="204" t="s">
        <v>1261</v>
      </c>
      <c r="BS145" s="204" t="s">
        <v>1248</v>
      </c>
      <c r="BT145" s="353">
        <v>4</v>
      </c>
      <c r="BU145" s="353">
        <v>5000</v>
      </c>
      <c r="BV145" s="204" t="s">
        <v>1248</v>
      </c>
      <c r="BW145" s="204" t="s">
        <v>1253</v>
      </c>
      <c r="BX145" s="204" t="s">
        <v>1248</v>
      </c>
      <c r="BY145" s="204" t="s">
        <v>1248</v>
      </c>
      <c r="BZ145" s="204" t="s">
        <v>827</v>
      </c>
      <c r="CA145" s="353">
        <v>3252</v>
      </c>
      <c r="CB145" s="353">
        <v>303.85866062999997</v>
      </c>
      <c r="CC145" s="204" t="s">
        <v>517</v>
      </c>
      <c r="CD145" s="204" t="s">
        <v>300</v>
      </c>
      <c r="CE145" s="204" t="s">
        <v>301</v>
      </c>
      <c r="CF145" s="204" t="s">
        <v>1474</v>
      </c>
      <c r="CG145" s="204" t="s">
        <v>1256</v>
      </c>
      <c r="CH145" s="204" t="s">
        <v>1298</v>
      </c>
      <c r="CI145" s="204" t="s">
        <v>359</v>
      </c>
      <c r="CJ145" s="204" t="s">
        <v>678</v>
      </c>
      <c r="CK145" s="353">
        <v>-9999</v>
      </c>
      <c r="CM145" s="353">
        <v>-9999</v>
      </c>
      <c r="CO145" s="353">
        <v>-9999</v>
      </c>
      <c r="CS145" s="353">
        <v>-9999</v>
      </c>
      <c r="CT145" s="353">
        <v>-9999</v>
      </c>
      <c r="CV145" s="204" t="s">
        <v>1475</v>
      </c>
      <c r="CW145" s="353">
        <v>1.9786861018199999E-5</v>
      </c>
      <c r="CX145" s="204">
        <v>1077</v>
      </c>
      <c r="CY145" s="204">
        <v>4477</v>
      </c>
      <c r="CZ145" s="204">
        <v>8034</v>
      </c>
      <c r="DA145" s="204">
        <v>6</v>
      </c>
      <c r="DB145" s="353">
        <v>3.5639999999500002E-2</v>
      </c>
      <c r="DC145" s="353">
        <v>1.5070050000100001E-5</v>
      </c>
      <c r="DD145" s="204">
        <v>10</v>
      </c>
      <c r="DE145" s="353">
        <v>0</v>
      </c>
      <c r="DF145" s="353">
        <v>0</v>
      </c>
      <c r="DG145" s="353">
        <v>2.1527014862E-2</v>
      </c>
      <c r="DH145" s="353">
        <v>5187.0240182999996</v>
      </c>
    </row>
    <row r="146" spans="1:112">
      <c r="A146" s="204">
        <v>1078</v>
      </c>
      <c r="B146" s="204">
        <v>1</v>
      </c>
      <c r="C146" s="204">
        <v>17108</v>
      </c>
      <c r="D146" s="204">
        <v>0</v>
      </c>
      <c r="E146" s="204">
        <v>1078</v>
      </c>
      <c r="F146" s="204">
        <v>4</v>
      </c>
      <c r="G146" s="204">
        <v>1078</v>
      </c>
      <c r="H146" s="204" t="s">
        <v>684</v>
      </c>
      <c r="I146" s="354">
        <v>37462</v>
      </c>
      <c r="J146" s="204" t="s">
        <v>684</v>
      </c>
      <c r="K146" s="204" t="s">
        <v>1466</v>
      </c>
      <c r="L146" s="204" t="s">
        <v>1294</v>
      </c>
      <c r="M146" s="204" t="s">
        <v>685</v>
      </c>
      <c r="N146" s="353">
        <v>100</v>
      </c>
      <c r="P146" s="204" t="s">
        <v>686</v>
      </c>
      <c r="R146" s="204" t="s">
        <v>1248</v>
      </c>
      <c r="S146" s="353">
        <v>0</v>
      </c>
      <c r="T146" s="204" t="s">
        <v>687</v>
      </c>
      <c r="U146" s="204" t="s">
        <v>294</v>
      </c>
      <c r="W146" s="204" t="s">
        <v>688</v>
      </c>
      <c r="Z146" s="204" t="s">
        <v>369</v>
      </c>
      <c r="AA146" s="204" t="s">
        <v>370</v>
      </c>
      <c r="AB146" s="204" t="s">
        <v>1511</v>
      </c>
      <c r="AC146" s="204" t="s">
        <v>1259</v>
      </c>
      <c r="AD146" s="204" t="s">
        <v>1251</v>
      </c>
      <c r="AE146" s="353">
        <v>82204</v>
      </c>
      <c r="AF146" s="353">
        <v>119200</v>
      </c>
      <c r="AG146" s="353">
        <v>0</v>
      </c>
      <c r="AH146" s="204" t="s">
        <v>298</v>
      </c>
      <c r="AI146" s="353">
        <v>1</v>
      </c>
      <c r="AJ146" s="353">
        <v>1</v>
      </c>
      <c r="AK146" s="353">
        <v>0</v>
      </c>
      <c r="AL146" s="353">
        <v>0</v>
      </c>
      <c r="AM146" s="353">
        <v>0</v>
      </c>
      <c r="AQ146" s="353">
        <v>0</v>
      </c>
      <c r="BC146" s="353">
        <v>0</v>
      </c>
      <c r="BD146" s="353">
        <v>0</v>
      </c>
      <c r="BF146" s="353">
        <v>0</v>
      </c>
      <c r="BG146" s="204" t="s">
        <v>1248</v>
      </c>
      <c r="BH146" s="204" t="s">
        <v>1248</v>
      </c>
      <c r="BJ146" s="204" t="s">
        <v>1270</v>
      </c>
      <c r="BK146" s="353">
        <v>4432</v>
      </c>
      <c r="BL146" s="353">
        <v>2</v>
      </c>
      <c r="BM146" s="353">
        <v>6</v>
      </c>
      <c r="BN146" s="353">
        <v>0</v>
      </c>
      <c r="BO146" s="353">
        <v>6</v>
      </c>
      <c r="BP146" s="353">
        <v>0</v>
      </c>
      <c r="BQ146" s="353">
        <v>739</v>
      </c>
      <c r="BR146" s="204" t="s">
        <v>1261</v>
      </c>
      <c r="BS146" s="204" t="s">
        <v>1248</v>
      </c>
      <c r="BT146" s="353">
        <v>6</v>
      </c>
      <c r="BU146" s="353">
        <v>7500</v>
      </c>
      <c r="BV146" s="204" t="s">
        <v>1248</v>
      </c>
      <c r="BW146" s="204" t="s">
        <v>1253</v>
      </c>
      <c r="BX146" s="204" t="s">
        <v>1248</v>
      </c>
      <c r="BY146" s="204" t="s">
        <v>1248</v>
      </c>
      <c r="BZ146" s="204" t="s">
        <v>1512</v>
      </c>
      <c r="CA146" s="353">
        <v>4432</v>
      </c>
      <c r="CB146" s="353">
        <v>345.76030790300001</v>
      </c>
      <c r="CC146" s="204" t="s">
        <v>299</v>
      </c>
      <c r="CD146" s="204" t="s">
        <v>300</v>
      </c>
      <c r="CE146" s="204" t="s">
        <v>301</v>
      </c>
      <c r="CF146" s="204" t="s">
        <v>1474</v>
      </c>
      <c r="CG146" s="204" t="s">
        <v>1256</v>
      </c>
      <c r="CH146" s="204" t="s">
        <v>1298</v>
      </c>
      <c r="CI146" s="204" t="s">
        <v>359</v>
      </c>
      <c r="CJ146" s="204" t="s">
        <v>678</v>
      </c>
      <c r="CK146" s="353">
        <v>-9999</v>
      </c>
      <c r="CM146" s="353">
        <v>-9999</v>
      </c>
      <c r="CO146" s="353">
        <v>-9999</v>
      </c>
      <c r="CS146" s="353">
        <v>-9999</v>
      </c>
      <c r="CT146" s="353">
        <v>-9999</v>
      </c>
      <c r="CV146" s="204" t="s">
        <v>1475</v>
      </c>
      <c r="CW146" s="353">
        <v>1.9786861018199999E-5</v>
      </c>
      <c r="CX146" s="204">
        <v>1078</v>
      </c>
      <c r="CY146" s="204">
        <v>4477</v>
      </c>
      <c r="CZ146" s="204">
        <v>8034</v>
      </c>
      <c r="DA146" s="204">
        <v>6</v>
      </c>
      <c r="DB146" s="353">
        <v>3.5639999999500002E-2</v>
      </c>
      <c r="DC146" s="353">
        <v>1.5070050000100001E-5</v>
      </c>
      <c r="DD146" s="204">
        <v>10</v>
      </c>
      <c r="DE146" s="353">
        <v>0</v>
      </c>
      <c r="DF146" s="353">
        <v>0</v>
      </c>
      <c r="DG146" s="353">
        <v>2.1527014862E-2</v>
      </c>
      <c r="DH146" s="353">
        <v>7285.8484035900001</v>
      </c>
    </row>
    <row r="147" spans="1:112">
      <c r="A147" s="204">
        <v>1079</v>
      </c>
      <c r="B147" s="204">
        <v>1</v>
      </c>
      <c r="C147" s="204">
        <v>17109</v>
      </c>
      <c r="D147" s="204">
        <v>0</v>
      </c>
      <c r="E147" s="204">
        <v>1079</v>
      </c>
      <c r="F147" s="204">
        <v>4</v>
      </c>
      <c r="G147" s="204">
        <v>1079</v>
      </c>
      <c r="H147" s="204" t="s">
        <v>953</v>
      </c>
      <c r="I147" s="354">
        <v>37462</v>
      </c>
      <c r="J147" s="204" t="s">
        <v>953</v>
      </c>
      <c r="K147" s="204" t="s">
        <v>1466</v>
      </c>
      <c r="L147" s="204" t="s">
        <v>1294</v>
      </c>
      <c r="M147" s="204" t="s">
        <v>685</v>
      </c>
      <c r="N147" s="353">
        <v>100</v>
      </c>
      <c r="P147" s="204" t="s">
        <v>954</v>
      </c>
      <c r="R147" s="204" t="s">
        <v>1248</v>
      </c>
      <c r="S147" s="353">
        <v>0</v>
      </c>
      <c r="T147" s="204" t="s">
        <v>687</v>
      </c>
      <c r="U147" s="204" t="s">
        <v>294</v>
      </c>
      <c r="W147" s="204" t="s">
        <v>955</v>
      </c>
      <c r="Z147" s="204" t="s">
        <v>369</v>
      </c>
      <c r="AA147" s="204" t="s">
        <v>370</v>
      </c>
      <c r="AB147" s="204" t="s">
        <v>1513</v>
      </c>
      <c r="AC147" s="204" t="s">
        <v>1250</v>
      </c>
      <c r="AD147" s="204" t="s">
        <v>1251</v>
      </c>
      <c r="AE147" s="353">
        <v>54799</v>
      </c>
      <c r="AF147" s="353">
        <v>79463</v>
      </c>
      <c r="AG147" s="353">
        <v>0</v>
      </c>
      <c r="AH147" s="204" t="s">
        <v>298</v>
      </c>
      <c r="AI147" s="353">
        <v>1</v>
      </c>
      <c r="AJ147" s="353">
        <v>1</v>
      </c>
      <c r="AK147" s="353">
        <v>0</v>
      </c>
      <c r="AL147" s="353">
        <v>0</v>
      </c>
      <c r="AM147" s="353">
        <v>0</v>
      </c>
      <c r="AQ147" s="353">
        <v>0</v>
      </c>
      <c r="BC147" s="353">
        <v>0</v>
      </c>
      <c r="BD147" s="353">
        <v>0</v>
      </c>
      <c r="BF147" s="353">
        <v>0</v>
      </c>
      <c r="BG147" s="204" t="s">
        <v>1248</v>
      </c>
      <c r="BH147" s="204" t="s">
        <v>1248</v>
      </c>
      <c r="BJ147" s="204" t="s">
        <v>1252</v>
      </c>
      <c r="BK147" s="353">
        <v>3240</v>
      </c>
      <c r="BL147" s="353">
        <v>2</v>
      </c>
      <c r="BM147" s="353">
        <v>4</v>
      </c>
      <c r="BN147" s="353">
        <v>0</v>
      </c>
      <c r="BO147" s="353">
        <v>4</v>
      </c>
      <c r="BP147" s="353">
        <v>0</v>
      </c>
      <c r="BQ147" s="353">
        <v>810</v>
      </c>
      <c r="BR147" s="204" t="s">
        <v>1261</v>
      </c>
      <c r="BS147" s="204" t="s">
        <v>1248</v>
      </c>
      <c r="BT147" s="353">
        <v>4</v>
      </c>
      <c r="BU147" s="353">
        <v>5000</v>
      </c>
      <c r="BV147" s="204" t="s">
        <v>1248</v>
      </c>
      <c r="BW147" s="204" t="s">
        <v>1253</v>
      </c>
      <c r="BX147" s="204" t="s">
        <v>1248</v>
      </c>
      <c r="BY147" s="204" t="s">
        <v>1248</v>
      </c>
      <c r="BZ147" s="204" t="s">
        <v>827</v>
      </c>
      <c r="CA147" s="353">
        <v>3240</v>
      </c>
      <c r="CB147" s="353">
        <v>300.334735857</v>
      </c>
      <c r="CC147" s="204" t="s">
        <v>517</v>
      </c>
      <c r="CD147" s="204" t="s">
        <v>300</v>
      </c>
      <c r="CE147" s="204" t="s">
        <v>301</v>
      </c>
      <c r="CF147" s="204" t="s">
        <v>1474</v>
      </c>
      <c r="CG147" s="204" t="s">
        <v>1256</v>
      </c>
      <c r="CH147" s="204" t="s">
        <v>1298</v>
      </c>
      <c r="CI147" s="204" t="s">
        <v>359</v>
      </c>
      <c r="CJ147" s="204" t="s">
        <v>678</v>
      </c>
      <c r="CK147" s="353">
        <v>-9999</v>
      </c>
      <c r="CM147" s="353">
        <v>-9999</v>
      </c>
      <c r="CO147" s="353">
        <v>-9999</v>
      </c>
      <c r="CS147" s="353">
        <v>-9999</v>
      </c>
      <c r="CT147" s="353">
        <v>-9999</v>
      </c>
      <c r="CV147" s="204" t="s">
        <v>1475</v>
      </c>
      <c r="CW147" s="353">
        <v>1.9786861018199999E-5</v>
      </c>
      <c r="CX147" s="204">
        <v>1079</v>
      </c>
      <c r="CY147" s="204">
        <v>4477</v>
      </c>
      <c r="CZ147" s="204">
        <v>8034</v>
      </c>
      <c r="DA147" s="204">
        <v>6</v>
      </c>
      <c r="DB147" s="353">
        <v>3.5639999999500002E-2</v>
      </c>
      <c r="DC147" s="353">
        <v>1.5070050000100001E-5</v>
      </c>
      <c r="DD147" s="204">
        <v>10</v>
      </c>
      <c r="DE147" s="353">
        <v>0</v>
      </c>
      <c r="DF147" s="353">
        <v>0</v>
      </c>
      <c r="DG147" s="353">
        <v>2.1527014862E-2</v>
      </c>
      <c r="DH147" s="353">
        <v>5015.98837396</v>
      </c>
    </row>
    <row r="148" spans="1:112">
      <c r="A148" s="204">
        <v>1080</v>
      </c>
      <c r="B148" s="204">
        <v>1</v>
      </c>
      <c r="C148" s="204">
        <v>17110</v>
      </c>
      <c r="D148" s="204">
        <v>0</v>
      </c>
      <c r="E148" s="204">
        <v>1080</v>
      </c>
      <c r="F148" s="204">
        <v>4</v>
      </c>
      <c r="G148" s="204">
        <v>1080</v>
      </c>
      <c r="H148" s="204" t="s">
        <v>956</v>
      </c>
      <c r="I148" s="354">
        <v>37462</v>
      </c>
      <c r="J148" s="204" t="s">
        <v>956</v>
      </c>
      <c r="K148" s="204" t="s">
        <v>1466</v>
      </c>
      <c r="L148" s="204" t="s">
        <v>1294</v>
      </c>
      <c r="M148" s="204" t="s">
        <v>957</v>
      </c>
      <c r="N148" s="353">
        <v>100</v>
      </c>
      <c r="P148" s="204" t="s">
        <v>958</v>
      </c>
      <c r="R148" s="204" t="s">
        <v>1248</v>
      </c>
      <c r="S148" s="353">
        <v>0</v>
      </c>
      <c r="T148" s="204" t="s">
        <v>687</v>
      </c>
      <c r="U148" s="204" t="s">
        <v>294</v>
      </c>
      <c r="W148" s="204" t="s">
        <v>959</v>
      </c>
      <c r="X148" s="204" t="s">
        <v>1514</v>
      </c>
      <c r="Z148" s="204" t="s">
        <v>369</v>
      </c>
      <c r="AA148" s="204" t="s">
        <v>370</v>
      </c>
      <c r="AB148" s="204" t="s">
        <v>1513</v>
      </c>
      <c r="AC148" s="204" t="s">
        <v>1250</v>
      </c>
      <c r="AD148" s="204" t="s">
        <v>1251</v>
      </c>
      <c r="AE148" s="353">
        <v>141700</v>
      </c>
      <c r="AF148" s="353">
        <v>308300</v>
      </c>
      <c r="AG148" s="353">
        <v>0</v>
      </c>
      <c r="AH148" s="204" t="s">
        <v>298</v>
      </c>
      <c r="AI148" s="353">
        <v>1</v>
      </c>
      <c r="AJ148" s="353">
        <v>1</v>
      </c>
      <c r="AK148" s="353">
        <v>0</v>
      </c>
      <c r="AL148" s="353">
        <v>0</v>
      </c>
      <c r="AM148" s="353">
        <v>0</v>
      </c>
      <c r="AQ148" s="353">
        <v>0</v>
      </c>
      <c r="BC148" s="353">
        <v>0</v>
      </c>
      <c r="BD148" s="353">
        <v>0</v>
      </c>
      <c r="BF148" s="353">
        <v>0</v>
      </c>
      <c r="BG148" s="204" t="s">
        <v>1248</v>
      </c>
      <c r="BH148" s="204" t="s">
        <v>1248</v>
      </c>
      <c r="BJ148" s="204" t="s">
        <v>1301</v>
      </c>
      <c r="BK148" s="353">
        <v>2400</v>
      </c>
      <c r="BL148" s="353">
        <v>2</v>
      </c>
      <c r="BM148" s="353">
        <v>4</v>
      </c>
      <c r="BN148" s="353">
        <v>4</v>
      </c>
      <c r="BO148" s="353">
        <v>0</v>
      </c>
      <c r="BP148" s="353">
        <v>0</v>
      </c>
      <c r="BQ148" s="353">
        <v>600</v>
      </c>
      <c r="BR148" s="204" t="s">
        <v>1261</v>
      </c>
      <c r="BS148" s="204" t="s">
        <v>1248</v>
      </c>
      <c r="BT148" s="353">
        <v>4</v>
      </c>
      <c r="BU148" s="353">
        <v>5000</v>
      </c>
      <c r="BV148" s="204" t="s">
        <v>1248</v>
      </c>
      <c r="BW148" s="204" t="s">
        <v>1253</v>
      </c>
      <c r="BX148" s="204" t="s">
        <v>1248</v>
      </c>
      <c r="BY148" s="204" t="s">
        <v>1248</v>
      </c>
      <c r="BZ148" s="204" t="s">
        <v>766</v>
      </c>
      <c r="CA148" s="353">
        <v>2400</v>
      </c>
      <c r="CB148" s="353">
        <v>298.83350575399999</v>
      </c>
      <c r="CC148" s="204" t="s">
        <v>517</v>
      </c>
      <c r="CD148" s="204" t="s">
        <v>300</v>
      </c>
      <c r="CE148" s="204" t="s">
        <v>301</v>
      </c>
      <c r="CF148" s="204" t="s">
        <v>1474</v>
      </c>
      <c r="CG148" s="204" t="s">
        <v>1256</v>
      </c>
      <c r="CH148" s="204" t="s">
        <v>1298</v>
      </c>
      <c r="CI148" s="204" t="s">
        <v>359</v>
      </c>
      <c r="CJ148" s="204" t="s">
        <v>678</v>
      </c>
      <c r="CK148" s="353">
        <v>-9999</v>
      </c>
      <c r="CM148" s="353">
        <v>-9999</v>
      </c>
      <c r="CO148" s="353">
        <v>-9999</v>
      </c>
      <c r="CS148" s="353">
        <v>-9999</v>
      </c>
      <c r="CT148" s="353">
        <v>-9999</v>
      </c>
      <c r="CV148" s="204" t="s">
        <v>1475</v>
      </c>
      <c r="CW148" s="353">
        <v>1.9786861018199999E-5</v>
      </c>
      <c r="CX148" s="204">
        <v>1080</v>
      </c>
      <c r="CY148" s="204">
        <v>4477</v>
      </c>
      <c r="CZ148" s="204">
        <v>8034</v>
      </c>
      <c r="DA148" s="204">
        <v>6</v>
      </c>
      <c r="DB148" s="353">
        <v>3.5639999999500002E-2</v>
      </c>
      <c r="DC148" s="353">
        <v>1.5070050000100001E-5</v>
      </c>
      <c r="DD148" s="204">
        <v>10</v>
      </c>
      <c r="DE148" s="353">
        <v>0</v>
      </c>
      <c r="DF148" s="353">
        <v>0</v>
      </c>
      <c r="DG148" s="353">
        <v>2.1527014862E-2</v>
      </c>
      <c r="DH148" s="353">
        <v>4943.8012392299997</v>
      </c>
    </row>
    <row r="149" spans="1:112">
      <c r="A149" s="204">
        <v>1095</v>
      </c>
      <c r="B149" s="204">
        <v>1</v>
      </c>
      <c r="C149" s="204">
        <v>17209</v>
      </c>
      <c r="D149" s="204">
        <v>0</v>
      </c>
      <c r="E149" s="204">
        <v>1095</v>
      </c>
      <c r="F149" s="204">
        <v>2</v>
      </c>
      <c r="G149" s="204">
        <v>1095</v>
      </c>
      <c r="H149" s="204" t="s">
        <v>490</v>
      </c>
      <c r="I149" s="354">
        <v>37462</v>
      </c>
      <c r="J149" s="204" t="s">
        <v>490</v>
      </c>
      <c r="K149" s="204" t="s">
        <v>1466</v>
      </c>
      <c r="L149" s="204" t="s">
        <v>302</v>
      </c>
      <c r="M149" s="204" t="s">
        <v>365</v>
      </c>
      <c r="N149" s="353">
        <v>25</v>
      </c>
      <c r="O149" s="204" t="s">
        <v>1515</v>
      </c>
      <c r="P149" s="204" t="s">
        <v>491</v>
      </c>
      <c r="R149" s="204" t="s">
        <v>1248</v>
      </c>
      <c r="S149" s="353">
        <v>0</v>
      </c>
      <c r="T149" s="204" t="s">
        <v>367</v>
      </c>
      <c r="U149" s="204" t="s">
        <v>307</v>
      </c>
      <c r="W149" s="204" t="s">
        <v>492</v>
      </c>
      <c r="Z149" s="204" t="s">
        <v>369</v>
      </c>
      <c r="AA149" s="204" t="s">
        <v>370</v>
      </c>
      <c r="AB149" s="204" t="s">
        <v>1516</v>
      </c>
      <c r="AC149" s="204" t="s">
        <v>1278</v>
      </c>
      <c r="AD149" s="204" t="s">
        <v>384</v>
      </c>
      <c r="AE149" s="353">
        <v>152184</v>
      </c>
      <c r="AF149" s="353">
        <v>97622</v>
      </c>
      <c r="AG149" s="353">
        <v>0</v>
      </c>
      <c r="AH149" s="204" t="s">
        <v>423</v>
      </c>
      <c r="AI149" s="353">
        <v>1</v>
      </c>
      <c r="AJ149" s="353">
        <v>1</v>
      </c>
      <c r="AK149" s="353">
        <v>4</v>
      </c>
      <c r="AL149" s="353">
        <v>2</v>
      </c>
      <c r="AM149" s="353">
        <v>10</v>
      </c>
      <c r="AN149" s="204" t="s">
        <v>186</v>
      </c>
      <c r="AO149" s="204" t="s">
        <v>1261</v>
      </c>
      <c r="AP149" s="204" t="s">
        <v>1248</v>
      </c>
      <c r="AQ149" s="353">
        <v>2</v>
      </c>
      <c r="AR149" s="204" t="s">
        <v>1248</v>
      </c>
      <c r="AS149" s="204" t="s">
        <v>1248</v>
      </c>
      <c r="AT149" s="204" t="s">
        <v>1282</v>
      </c>
      <c r="AU149" s="204" t="s">
        <v>1248</v>
      </c>
      <c r="AV149" s="204" t="s">
        <v>493</v>
      </c>
      <c r="AW149" s="204" t="s">
        <v>1248</v>
      </c>
      <c r="AX149" s="204" t="s">
        <v>1253</v>
      </c>
      <c r="AY149" s="204" t="s">
        <v>1261</v>
      </c>
      <c r="AZ149" s="204" t="s">
        <v>1248</v>
      </c>
      <c r="BB149" s="204" t="s">
        <v>883</v>
      </c>
      <c r="BC149" s="353">
        <v>9525</v>
      </c>
      <c r="BD149" s="353">
        <v>1920</v>
      </c>
      <c r="BE149" s="204" t="s">
        <v>723</v>
      </c>
      <c r="BF149" s="353">
        <v>0</v>
      </c>
      <c r="BG149" s="204" t="s">
        <v>1248</v>
      </c>
      <c r="BH149" s="204" t="s">
        <v>1248</v>
      </c>
      <c r="BI149" s="204" t="s">
        <v>723</v>
      </c>
      <c r="BK149" s="353">
        <v>0</v>
      </c>
      <c r="BL149" s="353">
        <v>0</v>
      </c>
      <c r="BM149" s="353">
        <v>0</v>
      </c>
      <c r="BN149" s="353">
        <v>0</v>
      </c>
      <c r="BO149" s="353">
        <v>0</v>
      </c>
      <c r="BP149" s="353">
        <v>0</v>
      </c>
      <c r="BQ149" s="353">
        <v>0</v>
      </c>
      <c r="BT149" s="353">
        <v>0</v>
      </c>
      <c r="BU149" s="353">
        <v>0</v>
      </c>
      <c r="CA149" s="353">
        <v>0</v>
      </c>
      <c r="CB149" s="353">
        <v>404.59014275499999</v>
      </c>
      <c r="CC149" s="204" t="s">
        <v>425</v>
      </c>
      <c r="CD149" s="204" t="s">
        <v>300</v>
      </c>
      <c r="CE149" s="204" t="s">
        <v>301</v>
      </c>
      <c r="CF149" s="204" t="s">
        <v>1517</v>
      </c>
      <c r="CG149" s="204" t="s">
        <v>1256</v>
      </c>
      <c r="CH149" s="204" t="s">
        <v>186</v>
      </c>
      <c r="CJ149" s="204" t="s">
        <v>302</v>
      </c>
      <c r="CK149" s="353">
        <v>-9999</v>
      </c>
      <c r="CM149" s="353">
        <v>-9999</v>
      </c>
      <c r="CO149" s="353">
        <v>-9999</v>
      </c>
      <c r="CS149" s="353">
        <v>-9999</v>
      </c>
      <c r="CT149" s="353">
        <v>-9999</v>
      </c>
      <c r="CV149" s="204" t="s">
        <v>1475</v>
      </c>
      <c r="CW149" s="353">
        <v>1.0007205447899999E-5</v>
      </c>
      <c r="CX149" s="204">
        <v>1095</v>
      </c>
      <c r="CY149" s="204">
        <v>4569</v>
      </c>
      <c r="CZ149" s="204">
        <v>10026</v>
      </c>
      <c r="DA149" s="204">
        <v>6</v>
      </c>
      <c r="DB149" s="353">
        <v>8.6310000000299994E-2</v>
      </c>
      <c r="DC149" s="353">
        <v>2.02945499999E-5</v>
      </c>
      <c r="DD149" s="204">
        <v>10</v>
      </c>
      <c r="DE149" s="353">
        <v>0</v>
      </c>
      <c r="DF149" s="353">
        <v>0</v>
      </c>
      <c r="DG149" s="353">
        <v>1.6872025300599999E-2</v>
      </c>
      <c r="DH149" s="353">
        <v>9562.8226869299997</v>
      </c>
    </row>
    <row r="150" spans="1:112">
      <c r="A150" s="204">
        <v>1096</v>
      </c>
      <c r="B150" s="204">
        <v>1</v>
      </c>
      <c r="C150" s="204">
        <v>17210</v>
      </c>
      <c r="D150" s="204">
        <v>0</v>
      </c>
      <c r="E150" s="204">
        <v>1096</v>
      </c>
      <c r="F150" s="204">
        <v>1</v>
      </c>
      <c r="G150" s="204">
        <v>1096</v>
      </c>
      <c r="H150" s="204" t="s">
        <v>364</v>
      </c>
      <c r="I150" s="354">
        <v>37462</v>
      </c>
      <c r="J150" s="204" t="s">
        <v>364</v>
      </c>
      <c r="K150" s="204" t="s">
        <v>1466</v>
      </c>
      <c r="L150" s="204" t="s">
        <v>302</v>
      </c>
      <c r="M150" s="204" t="s">
        <v>365</v>
      </c>
      <c r="N150" s="353">
        <v>25</v>
      </c>
      <c r="O150" s="204" t="s">
        <v>1515</v>
      </c>
      <c r="P150" s="204" t="s">
        <v>366</v>
      </c>
      <c r="R150" s="204" t="s">
        <v>1248</v>
      </c>
      <c r="S150" s="353">
        <v>0</v>
      </c>
      <c r="T150" s="204" t="s">
        <v>367</v>
      </c>
      <c r="U150" s="204" t="s">
        <v>307</v>
      </c>
      <c r="W150" s="204" t="s">
        <v>368</v>
      </c>
      <c r="Z150" s="204" t="s">
        <v>369</v>
      </c>
      <c r="AA150" s="204" t="s">
        <v>370</v>
      </c>
      <c r="AB150" s="204" t="s">
        <v>1516</v>
      </c>
      <c r="AC150" s="204" t="s">
        <v>1259</v>
      </c>
      <c r="AD150" s="204" t="s">
        <v>1251</v>
      </c>
      <c r="AE150" s="353">
        <v>76892</v>
      </c>
      <c r="AF150" s="353">
        <v>218249</v>
      </c>
      <c r="AG150" s="353">
        <v>0</v>
      </c>
      <c r="AH150" s="204" t="s">
        <v>298</v>
      </c>
      <c r="AI150" s="353">
        <v>1</v>
      </c>
      <c r="AJ150" s="353">
        <v>1</v>
      </c>
      <c r="AK150" s="353">
        <v>0</v>
      </c>
      <c r="AL150" s="353">
        <v>0</v>
      </c>
      <c r="AM150" s="353">
        <v>0</v>
      </c>
      <c r="AQ150" s="353">
        <v>0</v>
      </c>
      <c r="BC150" s="353">
        <v>0</v>
      </c>
      <c r="BD150" s="353">
        <v>0</v>
      </c>
      <c r="BF150" s="353">
        <v>0</v>
      </c>
      <c r="BG150" s="204" t="s">
        <v>1248</v>
      </c>
      <c r="BH150" s="204" t="s">
        <v>1248</v>
      </c>
      <c r="BJ150" s="204" t="s">
        <v>1270</v>
      </c>
      <c r="BK150" s="353">
        <v>5840</v>
      </c>
      <c r="BL150" s="353">
        <v>2</v>
      </c>
      <c r="BM150" s="353">
        <v>8</v>
      </c>
      <c r="BN150" s="353">
        <v>4</v>
      </c>
      <c r="BO150" s="353">
        <v>4</v>
      </c>
      <c r="BP150" s="353">
        <v>0</v>
      </c>
      <c r="BQ150" s="353">
        <v>730</v>
      </c>
      <c r="BR150" s="204" t="s">
        <v>1261</v>
      </c>
      <c r="BS150" s="204" t="s">
        <v>1271</v>
      </c>
      <c r="BT150" s="353">
        <v>8</v>
      </c>
      <c r="BU150" s="353">
        <v>3188</v>
      </c>
      <c r="BV150" s="204" t="s">
        <v>1248</v>
      </c>
      <c r="BW150" s="204" t="s">
        <v>1253</v>
      </c>
      <c r="BX150" s="204" t="s">
        <v>1248</v>
      </c>
      <c r="BY150" s="204" t="s">
        <v>1248</v>
      </c>
      <c r="BZ150" s="204" t="s">
        <v>1254</v>
      </c>
      <c r="CA150" s="353">
        <v>5840</v>
      </c>
      <c r="CB150" s="353">
        <v>303.528367296</v>
      </c>
      <c r="CC150" s="204" t="s">
        <v>299</v>
      </c>
      <c r="CD150" s="204" t="s">
        <v>300</v>
      </c>
      <c r="CE150" s="204" t="s">
        <v>301</v>
      </c>
      <c r="CF150" s="204" t="s">
        <v>1517</v>
      </c>
      <c r="CG150" s="204" t="s">
        <v>1256</v>
      </c>
      <c r="CH150" s="204" t="s">
        <v>186</v>
      </c>
      <c r="CJ150" s="204" t="s">
        <v>302</v>
      </c>
      <c r="CK150" s="353">
        <v>-9999</v>
      </c>
      <c r="CM150" s="353">
        <v>-9999</v>
      </c>
      <c r="CO150" s="353">
        <v>-9999</v>
      </c>
      <c r="CS150" s="353">
        <v>-9999</v>
      </c>
      <c r="CT150" s="353">
        <v>-9999</v>
      </c>
      <c r="CV150" s="204" t="s">
        <v>1475</v>
      </c>
      <c r="CW150" s="353">
        <v>1.0007205447899999E-5</v>
      </c>
      <c r="CX150" s="204">
        <v>1096</v>
      </c>
      <c r="CY150" s="204">
        <v>4569</v>
      </c>
      <c r="CZ150" s="204">
        <v>10026</v>
      </c>
      <c r="DA150" s="204">
        <v>6</v>
      </c>
      <c r="DB150" s="353">
        <v>8.6310000000299994E-2</v>
      </c>
      <c r="DC150" s="353">
        <v>2.02945499999E-5</v>
      </c>
      <c r="DD150" s="204">
        <v>10</v>
      </c>
      <c r="DE150" s="353">
        <v>0</v>
      </c>
      <c r="DF150" s="353">
        <v>0</v>
      </c>
      <c r="DG150" s="353">
        <v>1.6872025300599999E-2</v>
      </c>
      <c r="DH150" s="353">
        <v>3144.7924514299998</v>
      </c>
    </row>
    <row r="151" spans="1:112">
      <c r="A151" s="204">
        <v>1098</v>
      </c>
      <c r="B151" s="204">
        <v>1</v>
      </c>
      <c r="C151" s="204">
        <v>17216</v>
      </c>
      <c r="D151" s="204">
        <v>0</v>
      </c>
      <c r="E151" s="204">
        <v>1098</v>
      </c>
      <c r="F151" s="204">
        <v>0</v>
      </c>
      <c r="G151" s="204">
        <v>1098</v>
      </c>
      <c r="H151" s="204" t="s">
        <v>371</v>
      </c>
      <c r="I151" s="354">
        <v>37462</v>
      </c>
      <c r="J151" s="204" t="s">
        <v>371</v>
      </c>
      <c r="K151" s="204" t="s">
        <v>1466</v>
      </c>
      <c r="L151" s="204" t="s">
        <v>302</v>
      </c>
      <c r="M151" s="204" t="s">
        <v>365</v>
      </c>
      <c r="N151" s="353">
        <v>25</v>
      </c>
      <c r="O151" s="204" t="s">
        <v>1515</v>
      </c>
      <c r="P151" s="204" t="s">
        <v>372</v>
      </c>
      <c r="R151" s="204" t="s">
        <v>1248</v>
      </c>
      <c r="S151" s="353">
        <v>0</v>
      </c>
      <c r="T151" s="204" t="s">
        <v>367</v>
      </c>
      <c r="U151" s="204" t="s">
        <v>307</v>
      </c>
      <c r="W151" s="204" t="s">
        <v>368</v>
      </c>
      <c r="Z151" s="204" t="s">
        <v>369</v>
      </c>
      <c r="AA151" s="204" t="s">
        <v>370</v>
      </c>
      <c r="AB151" s="204" t="s">
        <v>1516</v>
      </c>
      <c r="AC151" s="204" t="s">
        <v>1259</v>
      </c>
      <c r="AD151" s="204" t="s">
        <v>1251</v>
      </c>
      <c r="AE151" s="353">
        <v>76892</v>
      </c>
      <c r="AF151" s="353">
        <v>218249</v>
      </c>
      <c r="AG151" s="353">
        <v>0</v>
      </c>
      <c r="AH151" s="204" t="s">
        <v>298</v>
      </c>
      <c r="AI151" s="353">
        <v>1</v>
      </c>
      <c r="AJ151" s="353">
        <v>1</v>
      </c>
      <c r="AK151" s="353">
        <v>0</v>
      </c>
      <c r="AL151" s="353">
        <v>0</v>
      </c>
      <c r="AM151" s="353">
        <v>0</v>
      </c>
      <c r="AQ151" s="353">
        <v>0</v>
      </c>
      <c r="BC151" s="353">
        <v>0</v>
      </c>
      <c r="BD151" s="353">
        <v>0</v>
      </c>
      <c r="BF151" s="353">
        <v>0</v>
      </c>
      <c r="BG151" s="204" t="s">
        <v>1248</v>
      </c>
      <c r="BH151" s="204" t="s">
        <v>1248</v>
      </c>
      <c r="BJ151" s="204" t="s">
        <v>1518</v>
      </c>
      <c r="BK151" s="353">
        <v>5840</v>
      </c>
      <c r="BL151" s="353">
        <v>2</v>
      </c>
      <c r="BM151" s="353">
        <v>8</v>
      </c>
      <c r="BN151" s="353">
        <v>4</v>
      </c>
      <c r="BO151" s="353">
        <v>4</v>
      </c>
      <c r="BP151" s="353">
        <v>0</v>
      </c>
      <c r="BQ151" s="353">
        <v>730</v>
      </c>
      <c r="BR151" s="204" t="s">
        <v>1248</v>
      </c>
      <c r="BS151" s="204" t="s">
        <v>1271</v>
      </c>
      <c r="BT151" s="353">
        <v>8</v>
      </c>
      <c r="BU151" s="353">
        <v>3188</v>
      </c>
      <c r="BX151" s="204" t="s">
        <v>1248</v>
      </c>
      <c r="BY151" s="204" t="s">
        <v>1248</v>
      </c>
      <c r="BZ151" s="204" t="s">
        <v>1254</v>
      </c>
      <c r="CA151" s="353">
        <v>5840</v>
      </c>
      <c r="CB151" s="353">
        <v>304.017204827</v>
      </c>
      <c r="CC151" s="204" t="s">
        <v>299</v>
      </c>
      <c r="CD151" s="204" t="s">
        <v>300</v>
      </c>
      <c r="CE151" s="204" t="s">
        <v>301</v>
      </c>
      <c r="CF151" s="204" t="s">
        <v>1517</v>
      </c>
      <c r="CG151" s="204" t="s">
        <v>1256</v>
      </c>
      <c r="CH151" s="204" t="s">
        <v>186</v>
      </c>
      <c r="CJ151" s="204" t="s">
        <v>302</v>
      </c>
      <c r="CK151" s="353">
        <v>-9999</v>
      </c>
      <c r="CM151" s="353">
        <v>-9999</v>
      </c>
      <c r="CO151" s="353">
        <v>-9999</v>
      </c>
      <c r="CS151" s="353">
        <v>-9999</v>
      </c>
      <c r="CT151" s="353">
        <v>-9999</v>
      </c>
      <c r="CV151" s="204" t="s">
        <v>1475</v>
      </c>
      <c r="CW151" s="353">
        <v>1.0007205447899999E-5</v>
      </c>
      <c r="CX151" s="204">
        <v>1098</v>
      </c>
      <c r="CY151" s="204">
        <v>0</v>
      </c>
      <c r="CZ151" s="204">
        <v>0</v>
      </c>
      <c r="DA151" s="204">
        <v>10</v>
      </c>
      <c r="DB151" s="353">
        <v>0</v>
      </c>
      <c r="DC151" s="353">
        <v>0</v>
      </c>
      <c r="DD151" s="204">
        <v>10</v>
      </c>
      <c r="DE151" s="353">
        <v>0</v>
      </c>
      <c r="DF151" s="353">
        <v>0</v>
      </c>
      <c r="DG151" s="353">
        <v>1.6872025300599999E-2</v>
      </c>
      <c r="DH151" s="353">
        <v>3175.2210258599998</v>
      </c>
    </row>
    <row r="152" spans="1:112">
      <c r="A152" s="204">
        <v>1099</v>
      </c>
      <c r="B152" s="204">
        <v>2</v>
      </c>
      <c r="C152" s="204">
        <v>17237</v>
      </c>
      <c r="D152" s="204">
        <v>0</v>
      </c>
      <c r="E152" s="204">
        <v>1099</v>
      </c>
      <c r="F152" s="204">
        <v>4</v>
      </c>
      <c r="G152" s="204">
        <v>1099</v>
      </c>
      <c r="H152" s="204" t="s">
        <v>879</v>
      </c>
      <c r="I152" s="354">
        <v>37462</v>
      </c>
      <c r="J152" s="204" t="s">
        <v>879</v>
      </c>
      <c r="K152" s="204" t="s">
        <v>1519</v>
      </c>
      <c r="L152" s="204" t="s">
        <v>1247</v>
      </c>
      <c r="M152" s="204" t="s">
        <v>880</v>
      </c>
      <c r="N152" s="353">
        <v>100</v>
      </c>
      <c r="P152" s="204" t="s">
        <v>881</v>
      </c>
      <c r="R152" s="204" t="s">
        <v>1248</v>
      </c>
      <c r="S152" s="353">
        <v>0</v>
      </c>
      <c r="T152" s="204" t="s">
        <v>692</v>
      </c>
      <c r="U152" s="204" t="s">
        <v>294</v>
      </c>
      <c r="W152" s="204" t="s">
        <v>882</v>
      </c>
      <c r="Z152" s="204" t="s">
        <v>369</v>
      </c>
      <c r="AA152" s="204" t="s">
        <v>370</v>
      </c>
      <c r="AB152" s="204" t="s">
        <v>1520</v>
      </c>
      <c r="AC152" s="204" t="s">
        <v>1278</v>
      </c>
      <c r="AD152" s="204" t="s">
        <v>384</v>
      </c>
      <c r="AE152" s="353">
        <v>202200</v>
      </c>
      <c r="AF152" s="353">
        <v>92800</v>
      </c>
      <c r="AG152" s="353">
        <v>0</v>
      </c>
      <c r="AH152" s="204" t="s">
        <v>423</v>
      </c>
      <c r="AI152" s="353">
        <v>1</v>
      </c>
      <c r="AJ152" s="353">
        <v>1</v>
      </c>
      <c r="AK152" s="353">
        <v>3</v>
      </c>
      <c r="AL152" s="353">
        <v>2</v>
      </c>
      <c r="AM152" s="353">
        <v>9</v>
      </c>
      <c r="AN152" s="204" t="s">
        <v>186</v>
      </c>
      <c r="AO152" s="204" t="s">
        <v>1261</v>
      </c>
      <c r="AP152" s="204" t="s">
        <v>1248</v>
      </c>
      <c r="AQ152" s="353">
        <v>1</v>
      </c>
      <c r="AR152" s="204" t="s">
        <v>1248</v>
      </c>
      <c r="AS152" s="204" t="s">
        <v>1248</v>
      </c>
      <c r="AT152" s="204" t="s">
        <v>1248</v>
      </c>
      <c r="AU152" s="204" t="s">
        <v>1248</v>
      </c>
      <c r="AV152" s="204" t="s">
        <v>883</v>
      </c>
      <c r="AW152" s="204" t="s">
        <v>1248</v>
      </c>
      <c r="AX152" s="204" t="s">
        <v>1253</v>
      </c>
      <c r="AY152" s="204" t="s">
        <v>1261</v>
      </c>
      <c r="AZ152" s="204" t="s">
        <v>1248</v>
      </c>
      <c r="BA152" s="204" t="s">
        <v>1248</v>
      </c>
      <c r="BB152" s="204" t="s">
        <v>883</v>
      </c>
      <c r="BC152" s="353">
        <v>4884</v>
      </c>
      <c r="BD152" s="353">
        <v>1254</v>
      </c>
      <c r="BE152" s="204" t="s">
        <v>723</v>
      </c>
      <c r="BF152" s="353">
        <v>0</v>
      </c>
      <c r="BG152" s="204" t="s">
        <v>1248</v>
      </c>
      <c r="BH152" s="204" t="s">
        <v>1248</v>
      </c>
      <c r="BI152" s="204" t="s">
        <v>723</v>
      </c>
      <c r="BK152" s="353">
        <v>0</v>
      </c>
      <c r="BL152" s="353">
        <v>0</v>
      </c>
      <c r="BM152" s="353">
        <v>0</v>
      </c>
      <c r="BN152" s="353">
        <v>0</v>
      </c>
      <c r="BO152" s="353">
        <v>0</v>
      </c>
      <c r="BP152" s="353">
        <v>0</v>
      </c>
      <c r="BQ152" s="353">
        <v>0</v>
      </c>
      <c r="BT152" s="353">
        <v>0</v>
      </c>
      <c r="BU152" s="353">
        <v>0</v>
      </c>
      <c r="CA152" s="353">
        <v>0</v>
      </c>
      <c r="CB152" s="353">
        <v>339.44971149700001</v>
      </c>
      <c r="CC152" s="204" t="s">
        <v>425</v>
      </c>
      <c r="CD152" s="204" t="s">
        <v>300</v>
      </c>
      <c r="CE152" s="204" t="s">
        <v>301</v>
      </c>
      <c r="CF152" s="204" t="s">
        <v>1068</v>
      </c>
      <c r="CG152" s="204" t="s">
        <v>1256</v>
      </c>
      <c r="CH152" s="204" t="s">
        <v>1298</v>
      </c>
      <c r="CI152" s="204" t="s">
        <v>351</v>
      </c>
      <c r="CJ152" s="204" t="s">
        <v>678</v>
      </c>
      <c r="CK152" s="353">
        <v>-9999</v>
      </c>
      <c r="CM152" s="353">
        <v>-9999</v>
      </c>
      <c r="CO152" s="353">
        <v>-9999</v>
      </c>
      <c r="CS152" s="353">
        <v>-9999</v>
      </c>
      <c r="CT152" s="353">
        <v>-9999</v>
      </c>
      <c r="CV152" s="204" t="s">
        <v>1265</v>
      </c>
      <c r="CW152" s="353">
        <v>3.4283805060700001E-3</v>
      </c>
      <c r="CX152" s="204">
        <v>1099</v>
      </c>
      <c r="CY152" s="204">
        <v>4569</v>
      </c>
      <c r="CZ152" s="204">
        <v>10026</v>
      </c>
      <c r="DA152" s="204">
        <v>6</v>
      </c>
      <c r="DB152" s="353">
        <v>8.6310000000299994E-2</v>
      </c>
      <c r="DC152" s="353">
        <v>2.02945499999E-5</v>
      </c>
      <c r="DD152" s="204">
        <v>10</v>
      </c>
      <c r="DE152" s="353">
        <v>0</v>
      </c>
      <c r="DF152" s="353">
        <v>0</v>
      </c>
      <c r="DG152" s="353">
        <v>0.96529797319699995</v>
      </c>
      <c r="DH152" s="353">
        <v>5022.0824718599997</v>
      </c>
    </row>
    <row r="153" spans="1:112">
      <c r="A153" s="204">
        <v>1101</v>
      </c>
      <c r="B153" s="204">
        <v>1</v>
      </c>
      <c r="C153" s="204">
        <v>17251</v>
      </c>
      <c r="D153" s="204">
        <v>0</v>
      </c>
      <c r="E153" s="204">
        <v>1101</v>
      </c>
      <c r="F153" s="204">
        <v>1</v>
      </c>
      <c r="G153" s="204">
        <v>1101</v>
      </c>
      <c r="H153" s="204" t="s">
        <v>694</v>
      </c>
      <c r="I153" s="354">
        <v>37462</v>
      </c>
      <c r="J153" s="204" t="s">
        <v>694</v>
      </c>
      <c r="K153" s="204" t="s">
        <v>1466</v>
      </c>
      <c r="L153" s="204" t="s">
        <v>1271</v>
      </c>
      <c r="M153" s="204" t="s">
        <v>695</v>
      </c>
      <c r="N153" s="353">
        <v>100</v>
      </c>
      <c r="P153" s="204" t="s">
        <v>696</v>
      </c>
      <c r="R153" s="204" t="s">
        <v>1248</v>
      </c>
      <c r="S153" s="353">
        <v>0</v>
      </c>
      <c r="T153" s="204" t="s">
        <v>697</v>
      </c>
      <c r="U153" s="204" t="s">
        <v>294</v>
      </c>
      <c r="W153" s="204" t="s">
        <v>698</v>
      </c>
      <c r="Z153" s="204" t="s">
        <v>369</v>
      </c>
      <c r="AA153" s="204" t="s">
        <v>370</v>
      </c>
      <c r="AB153" s="204" t="s">
        <v>1521</v>
      </c>
      <c r="AC153" s="204" t="s">
        <v>1259</v>
      </c>
      <c r="AD153" s="204" t="s">
        <v>1251</v>
      </c>
      <c r="AE153" s="353">
        <v>252700</v>
      </c>
      <c r="AF153" s="353">
        <v>657300</v>
      </c>
      <c r="AG153" s="353">
        <v>0</v>
      </c>
      <c r="AH153" s="204" t="s">
        <v>298</v>
      </c>
      <c r="AI153" s="353">
        <v>1</v>
      </c>
      <c r="AJ153" s="353">
        <v>1</v>
      </c>
      <c r="AK153" s="353">
        <v>0</v>
      </c>
      <c r="AL153" s="353">
        <v>0</v>
      </c>
      <c r="AM153" s="353">
        <v>0</v>
      </c>
      <c r="AQ153" s="353">
        <v>0</v>
      </c>
      <c r="BC153" s="353">
        <v>0</v>
      </c>
      <c r="BD153" s="353">
        <v>0</v>
      </c>
      <c r="BF153" s="353">
        <v>0</v>
      </c>
      <c r="BG153" s="204" t="s">
        <v>1248</v>
      </c>
      <c r="BH153" s="204" t="s">
        <v>1248</v>
      </c>
      <c r="BJ153" s="204" t="s">
        <v>1270</v>
      </c>
      <c r="BK153" s="353">
        <v>5997</v>
      </c>
      <c r="BL153" s="353">
        <v>2</v>
      </c>
      <c r="BM153" s="353">
        <v>7</v>
      </c>
      <c r="BN153" s="353">
        <v>0</v>
      </c>
      <c r="BO153" s="353">
        <v>6</v>
      </c>
      <c r="BP153" s="353">
        <v>1</v>
      </c>
      <c r="BQ153" s="353">
        <v>856</v>
      </c>
      <c r="BR153" s="204" t="s">
        <v>1248</v>
      </c>
      <c r="BS153" s="204" t="s">
        <v>1271</v>
      </c>
      <c r="BT153" s="353">
        <v>7</v>
      </c>
      <c r="BU153" s="353">
        <v>8665</v>
      </c>
      <c r="BV153" s="204" t="s">
        <v>1248</v>
      </c>
      <c r="BW153" s="204" t="s">
        <v>1253</v>
      </c>
      <c r="BX153" s="204" t="s">
        <v>1248</v>
      </c>
      <c r="BY153" s="204" t="s">
        <v>1248</v>
      </c>
      <c r="BZ153" s="204" t="s">
        <v>469</v>
      </c>
      <c r="CA153" s="353">
        <v>5997</v>
      </c>
      <c r="CB153" s="353">
        <v>378.31700857200002</v>
      </c>
      <c r="CC153" s="204" t="s">
        <v>299</v>
      </c>
      <c r="CD153" s="204" t="s">
        <v>300</v>
      </c>
      <c r="CE153" s="204" t="s">
        <v>301</v>
      </c>
      <c r="CF153" s="204" t="s">
        <v>1068</v>
      </c>
      <c r="CG153" s="204" t="s">
        <v>1256</v>
      </c>
      <c r="CH153" s="204" t="s">
        <v>1298</v>
      </c>
      <c r="CI153" s="204" t="s">
        <v>351</v>
      </c>
      <c r="CJ153" s="204" t="s">
        <v>678</v>
      </c>
      <c r="CK153" s="353">
        <v>-9999</v>
      </c>
      <c r="CM153" s="353">
        <v>-9999</v>
      </c>
      <c r="CO153" s="353">
        <v>-9999</v>
      </c>
      <c r="CS153" s="353">
        <v>-9999</v>
      </c>
      <c r="CT153" s="353">
        <v>-9999</v>
      </c>
      <c r="CV153" s="204" t="s">
        <v>1265</v>
      </c>
      <c r="CW153" s="353">
        <v>3.4283805060700001E-3</v>
      </c>
      <c r="CX153" s="204">
        <v>1101</v>
      </c>
      <c r="CY153" s="204">
        <v>4569</v>
      </c>
      <c r="CZ153" s="204">
        <v>10026</v>
      </c>
      <c r="DA153" s="204">
        <v>6</v>
      </c>
      <c r="DB153" s="353">
        <v>8.6310000000299994E-2</v>
      </c>
      <c r="DC153" s="353">
        <v>2.02945499999E-5</v>
      </c>
      <c r="DD153" s="204">
        <v>10</v>
      </c>
      <c r="DE153" s="353">
        <v>0</v>
      </c>
      <c r="DF153" s="353">
        <v>0</v>
      </c>
      <c r="DG153" s="353">
        <v>0.96529797319699995</v>
      </c>
      <c r="DH153" s="353">
        <v>8895.7127383400002</v>
      </c>
    </row>
    <row r="154" spans="1:112">
      <c r="A154" s="204">
        <v>1102</v>
      </c>
      <c r="B154" s="204">
        <v>1</v>
      </c>
      <c r="C154" s="204">
        <v>17253</v>
      </c>
      <c r="D154" s="204">
        <v>0</v>
      </c>
      <c r="E154" s="204">
        <v>1102</v>
      </c>
      <c r="F154" s="204">
        <v>4</v>
      </c>
      <c r="G154" s="204">
        <v>1102</v>
      </c>
      <c r="H154" s="204" t="s">
        <v>906</v>
      </c>
      <c r="I154" s="354">
        <v>37462</v>
      </c>
      <c r="J154" s="204" t="s">
        <v>906</v>
      </c>
      <c r="K154" s="204" t="s">
        <v>1519</v>
      </c>
      <c r="L154" s="204" t="s">
        <v>1288</v>
      </c>
      <c r="M154" s="204" t="s">
        <v>907</v>
      </c>
      <c r="N154" s="353">
        <v>100</v>
      </c>
      <c r="O154" s="204" t="s">
        <v>1522</v>
      </c>
      <c r="P154" s="204" t="s">
        <v>908</v>
      </c>
      <c r="R154" s="204" t="s">
        <v>1248</v>
      </c>
      <c r="S154" s="353">
        <v>0</v>
      </c>
      <c r="T154" s="204" t="s">
        <v>909</v>
      </c>
      <c r="U154" s="204" t="s">
        <v>294</v>
      </c>
      <c r="W154" s="204" t="s">
        <v>910</v>
      </c>
      <c r="Z154" s="204" t="s">
        <v>369</v>
      </c>
      <c r="AA154" s="204" t="s">
        <v>370</v>
      </c>
      <c r="AB154" s="204" t="s">
        <v>1523</v>
      </c>
      <c r="AC154" s="204" t="s">
        <v>741</v>
      </c>
      <c r="AD154" s="204" t="s">
        <v>1251</v>
      </c>
      <c r="AE154" s="353">
        <v>31513</v>
      </c>
      <c r="AF154" s="353">
        <v>141815</v>
      </c>
      <c r="AG154" s="353">
        <v>0</v>
      </c>
      <c r="AH154" s="204" t="s">
        <v>298</v>
      </c>
      <c r="AI154" s="353">
        <v>1</v>
      </c>
      <c r="AJ154" s="353">
        <v>1</v>
      </c>
      <c r="AK154" s="353">
        <v>0</v>
      </c>
      <c r="AL154" s="353">
        <v>0</v>
      </c>
      <c r="AM154" s="353">
        <v>0</v>
      </c>
      <c r="AQ154" s="353">
        <v>0</v>
      </c>
      <c r="BC154" s="353">
        <v>0</v>
      </c>
      <c r="BD154" s="353">
        <v>0</v>
      </c>
      <c r="BF154" s="353">
        <v>0</v>
      </c>
      <c r="BG154" s="204" t="s">
        <v>1248</v>
      </c>
      <c r="BH154" s="204" t="s">
        <v>1248</v>
      </c>
      <c r="BJ154" s="204" t="s">
        <v>1321</v>
      </c>
      <c r="BK154" s="353">
        <v>2087</v>
      </c>
      <c r="BL154" s="353">
        <v>2</v>
      </c>
      <c r="BM154" s="353">
        <v>3</v>
      </c>
      <c r="BN154" s="353">
        <v>4</v>
      </c>
      <c r="BO154" s="353">
        <v>3</v>
      </c>
      <c r="BP154" s="353">
        <v>10</v>
      </c>
      <c r="BQ154" s="353">
        <v>969</v>
      </c>
      <c r="BR154" s="204" t="s">
        <v>1261</v>
      </c>
      <c r="BS154" s="204" t="s">
        <v>1248</v>
      </c>
      <c r="BT154" s="353">
        <v>3</v>
      </c>
      <c r="BU154" s="353">
        <v>2500</v>
      </c>
      <c r="BV154" s="204" t="s">
        <v>1248</v>
      </c>
      <c r="BW154" s="204" t="s">
        <v>1253</v>
      </c>
      <c r="BX154" s="204" t="s">
        <v>1248</v>
      </c>
      <c r="BY154" s="204" t="s">
        <v>1248</v>
      </c>
      <c r="BZ154" s="204" t="s">
        <v>1524</v>
      </c>
      <c r="CA154" s="353">
        <v>2087</v>
      </c>
      <c r="CB154" s="353">
        <v>248.00319147900001</v>
      </c>
      <c r="CC154" s="204" t="s">
        <v>503</v>
      </c>
      <c r="CD154" s="204" t="s">
        <v>300</v>
      </c>
      <c r="CE154" s="204" t="s">
        <v>301</v>
      </c>
      <c r="CF154" s="204" t="s">
        <v>1068</v>
      </c>
      <c r="CG154" s="204" t="s">
        <v>1256</v>
      </c>
      <c r="CH154" s="204" t="s">
        <v>1298</v>
      </c>
      <c r="CI154" s="204" t="s">
        <v>351</v>
      </c>
      <c r="CJ154" s="204" t="s">
        <v>678</v>
      </c>
      <c r="CK154" s="353">
        <v>-9999</v>
      </c>
      <c r="CM154" s="353">
        <v>-9999</v>
      </c>
      <c r="CO154" s="353">
        <v>-9999</v>
      </c>
      <c r="CS154" s="353">
        <v>-9999</v>
      </c>
      <c r="CT154" s="353">
        <v>-9999</v>
      </c>
      <c r="CV154" s="204" t="s">
        <v>1265</v>
      </c>
      <c r="CW154" s="353">
        <v>3.4283805060700001E-3</v>
      </c>
      <c r="CX154" s="204">
        <v>1102</v>
      </c>
      <c r="CY154" s="204">
        <v>4569</v>
      </c>
      <c r="CZ154" s="204">
        <v>10026</v>
      </c>
      <c r="DA154" s="204">
        <v>6</v>
      </c>
      <c r="DB154" s="353">
        <v>8.6310000000299994E-2</v>
      </c>
      <c r="DC154" s="353">
        <v>2.02945499999E-5</v>
      </c>
      <c r="DD154" s="204">
        <v>10</v>
      </c>
      <c r="DE154" s="353">
        <v>0</v>
      </c>
      <c r="DF154" s="353">
        <v>0</v>
      </c>
      <c r="DG154" s="353">
        <v>0.96529797319699995</v>
      </c>
      <c r="DH154" s="353">
        <v>2461.3682461899998</v>
      </c>
    </row>
    <row r="155" spans="1:112">
      <c r="A155" s="204">
        <v>1103</v>
      </c>
      <c r="B155" s="204">
        <v>1</v>
      </c>
      <c r="C155" s="204">
        <v>17267</v>
      </c>
      <c r="D155" s="204">
        <v>0</v>
      </c>
      <c r="E155" s="204">
        <v>1103</v>
      </c>
      <c r="F155" s="204">
        <v>2</v>
      </c>
      <c r="G155" s="204">
        <v>1103</v>
      </c>
      <c r="H155" s="204" t="s">
        <v>911</v>
      </c>
      <c r="I155" s="354">
        <v>37462</v>
      </c>
      <c r="J155" s="204" t="s">
        <v>911</v>
      </c>
      <c r="K155" s="204" t="s">
        <v>1466</v>
      </c>
      <c r="L155" s="204" t="s">
        <v>1288</v>
      </c>
      <c r="M155" s="204" t="s">
        <v>912</v>
      </c>
      <c r="N155" s="353">
        <v>100</v>
      </c>
      <c r="P155" s="204" t="s">
        <v>913</v>
      </c>
      <c r="R155" s="204" t="s">
        <v>1248</v>
      </c>
      <c r="S155" s="353">
        <v>0</v>
      </c>
      <c r="T155" s="204" t="s">
        <v>909</v>
      </c>
      <c r="U155" s="204" t="s">
        <v>294</v>
      </c>
      <c r="W155" s="204" t="s">
        <v>677</v>
      </c>
      <c r="Z155" s="204" t="s">
        <v>369</v>
      </c>
      <c r="AA155" s="204" t="s">
        <v>370</v>
      </c>
      <c r="AB155" s="204" t="s">
        <v>1525</v>
      </c>
      <c r="AC155" s="204" t="s">
        <v>741</v>
      </c>
      <c r="AD155" s="204" t="s">
        <v>1251</v>
      </c>
      <c r="AE155" s="353">
        <v>52100</v>
      </c>
      <c r="AF155" s="353">
        <v>285400</v>
      </c>
      <c r="AG155" s="353">
        <v>0</v>
      </c>
      <c r="AH155" s="204" t="s">
        <v>298</v>
      </c>
      <c r="AI155" s="353">
        <v>1</v>
      </c>
      <c r="AJ155" s="353">
        <v>1</v>
      </c>
      <c r="AK155" s="353">
        <v>0</v>
      </c>
      <c r="AL155" s="353">
        <v>0</v>
      </c>
      <c r="AM155" s="353">
        <v>0</v>
      </c>
      <c r="AQ155" s="353">
        <v>0</v>
      </c>
      <c r="BC155" s="353">
        <v>0</v>
      </c>
      <c r="BD155" s="353">
        <v>0</v>
      </c>
      <c r="BF155" s="353">
        <v>0</v>
      </c>
      <c r="BG155" s="204" t="s">
        <v>1248</v>
      </c>
      <c r="BH155" s="204" t="s">
        <v>1248</v>
      </c>
      <c r="BJ155" s="204" t="s">
        <v>1321</v>
      </c>
      <c r="BK155" s="353">
        <v>1929</v>
      </c>
      <c r="BL155" s="353">
        <v>2</v>
      </c>
      <c r="BM155" s="353">
        <v>3</v>
      </c>
      <c r="BN155" s="353">
        <v>1</v>
      </c>
      <c r="BO155" s="353">
        <v>2</v>
      </c>
      <c r="BP155" s="353">
        <v>0</v>
      </c>
      <c r="BQ155" s="353">
        <v>637</v>
      </c>
      <c r="BR155" s="204" t="s">
        <v>1248</v>
      </c>
      <c r="BS155" s="204" t="s">
        <v>1271</v>
      </c>
      <c r="BT155" s="353">
        <v>1</v>
      </c>
      <c r="BU155" s="353">
        <v>5000</v>
      </c>
      <c r="BV155" s="204" t="s">
        <v>1248</v>
      </c>
      <c r="BW155" s="204" t="s">
        <v>1253</v>
      </c>
      <c r="BX155" s="204" t="s">
        <v>1261</v>
      </c>
      <c r="BY155" s="204" t="s">
        <v>1248</v>
      </c>
      <c r="BZ155" s="204" t="s">
        <v>1526</v>
      </c>
      <c r="CA155" s="353">
        <v>1910</v>
      </c>
      <c r="CB155" s="353">
        <v>308.82900513300001</v>
      </c>
      <c r="CC155" s="204" t="s">
        <v>503</v>
      </c>
      <c r="CD155" s="204" t="s">
        <v>300</v>
      </c>
      <c r="CE155" s="204" t="s">
        <v>301</v>
      </c>
      <c r="CF155" s="204" t="s">
        <v>1068</v>
      </c>
      <c r="CG155" s="204" t="s">
        <v>1256</v>
      </c>
      <c r="CH155" s="204" t="s">
        <v>1298</v>
      </c>
      <c r="CI155" s="204" t="s">
        <v>351</v>
      </c>
      <c r="CJ155" s="204" t="s">
        <v>678</v>
      </c>
      <c r="CK155" s="353">
        <v>-9999</v>
      </c>
      <c r="CM155" s="353">
        <v>-9999</v>
      </c>
      <c r="CO155" s="353">
        <v>-9999</v>
      </c>
      <c r="CS155" s="353">
        <v>-9999</v>
      </c>
      <c r="CT155" s="353">
        <v>-9999</v>
      </c>
      <c r="CV155" s="204" t="s">
        <v>1265</v>
      </c>
      <c r="CW155" s="353">
        <v>3.4283805060700001E-3</v>
      </c>
      <c r="CX155" s="204">
        <v>1103</v>
      </c>
      <c r="CY155" s="204">
        <v>4569</v>
      </c>
      <c r="CZ155" s="204">
        <v>10026</v>
      </c>
      <c r="DA155" s="204">
        <v>6</v>
      </c>
      <c r="DB155" s="353">
        <v>8.6310000000299994E-2</v>
      </c>
      <c r="DC155" s="353">
        <v>2.02945499999E-5</v>
      </c>
      <c r="DD155" s="204">
        <v>10</v>
      </c>
      <c r="DE155" s="353">
        <v>0</v>
      </c>
      <c r="DF155" s="353">
        <v>0</v>
      </c>
      <c r="DG155" s="353">
        <v>0.96529797319699995</v>
      </c>
      <c r="DH155" s="353">
        <v>5426.9494951899997</v>
      </c>
    </row>
    <row r="156" spans="1:112">
      <c r="A156" s="204">
        <v>1104</v>
      </c>
      <c r="B156" s="204">
        <v>1</v>
      </c>
      <c r="C156" s="204">
        <v>17274</v>
      </c>
      <c r="D156" s="204">
        <v>0</v>
      </c>
      <c r="E156" s="204">
        <v>1104</v>
      </c>
      <c r="F156" s="204">
        <v>2</v>
      </c>
      <c r="G156" s="204">
        <v>1104</v>
      </c>
      <c r="H156" s="204" t="s">
        <v>689</v>
      </c>
      <c r="I156" s="354">
        <v>40211</v>
      </c>
      <c r="J156" s="204" t="s">
        <v>689</v>
      </c>
      <c r="K156" s="204" t="s">
        <v>1519</v>
      </c>
      <c r="L156" s="204" t="s">
        <v>302</v>
      </c>
      <c r="M156" s="204" t="s">
        <v>690</v>
      </c>
      <c r="N156" s="353">
        <v>50</v>
      </c>
      <c r="O156" s="204" t="s">
        <v>1527</v>
      </c>
      <c r="P156" s="204" t="s">
        <v>691</v>
      </c>
      <c r="R156" s="204" t="s">
        <v>1248</v>
      </c>
      <c r="S156" s="353">
        <v>0.17199999999999999</v>
      </c>
      <c r="T156" s="204" t="s">
        <v>692</v>
      </c>
      <c r="U156" s="204" t="s">
        <v>294</v>
      </c>
      <c r="W156" s="204" t="s">
        <v>693</v>
      </c>
      <c r="Z156" s="204" t="s">
        <v>369</v>
      </c>
      <c r="AA156" s="204" t="s">
        <v>370</v>
      </c>
      <c r="AB156" s="204" t="s">
        <v>1528</v>
      </c>
      <c r="AC156" s="204" t="s">
        <v>1259</v>
      </c>
      <c r="AD156" s="204" t="s">
        <v>1251</v>
      </c>
      <c r="AE156" s="353">
        <v>183833</v>
      </c>
      <c r="AF156" s="353">
        <v>328805</v>
      </c>
      <c r="AG156" s="353">
        <v>0</v>
      </c>
      <c r="AH156" s="204" t="s">
        <v>298</v>
      </c>
      <c r="AI156" s="353">
        <v>1</v>
      </c>
      <c r="AJ156" s="353">
        <v>1</v>
      </c>
      <c r="AK156" s="353">
        <v>0</v>
      </c>
      <c r="AL156" s="353">
        <v>0</v>
      </c>
      <c r="AM156" s="353">
        <v>0</v>
      </c>
      <c r="AQ156" s="353">
        <v>0</v>
      </c>
      <c r="BC156" s="353">
        <v>0</v>
      </c>
      <c r="BD156" s="353">
        <v>0</v>
      </c>
      <c r="BF156" s="353">
        <v>0</v>
      </c>
      <c r="BG156" s="204" t="s">
        <v>1248</v>
      </c>
      <c r="BH156" s="204" t="s">
        <v>1248</v>
      </c>
      <c r="BJ156" s="204" t="s">
        <v>1529</v>
      </c>
      <c r="BK156" s="353">
        <v>4212</v>
      </c>
      <c r="BL156" s="353">
        <v>2</v>
      </c>
      <c r="BM156" s="353">
        <v>6</v>
      </c>
      <c r="BN156" s="353">
        <v>2</v>
      </c>
      <c r="BO156" s="353">
        <v>4</v>
      </c>
      <c r="BP156" s="353">
        <v>0</v>
      </c>
      <c r="BQ156" s="353">
        <v>702</v>
      </c>
      <c r="BR156" s="204" t="s">
        <v>1261</v>
      </c>
      <c r="BS156" s="204" t="s">
        <v>1248</v>
      </c>
      <c r="BT156" s="353">
        <v>6</v>
      </c>
      <c r="BU156" s="353">
        <v>7500</v>
      </c>
      <c r="BV156" s="204" t="s">
        <v>1248</v>
      </c>
      <c r="BW156" s="204" t="s">
        <v>1253</v>
      </c>
      <c r="BX156" s="204" t="s">
        <v>1248</v>
      </c>
      <c r="BY156" s="204" t="s">
        <v>1248</v>
      </c>
      <c r="BZ156" s="204" t="s">
        <v>1530</v>
      </c>
      <c r="CA156" s="353">
        <v>4212</v>
      </c>
      <c r="CB156" s="353">
        <v>348.49573550299999</v>
      </c>
      <c r="CC156" s="204" t="s">
        <v>299</v>
      </c>
      <c r="CD156" s="204" t="s">
        <v>300</v>
      </c>
      <c r="CE156" s="204" t="s">
        <v>301</v>
      </c>
      <c r="CF156" s="204" t="s">
        <v>1068</v>
      </c>
      <c r="CG156" s="204" t="s">
        <v>1256</v>
      </c>
      <c r="CH156" s="204" t="s">
        <v>1298</v>
      </c>
      <c r="CI156" s="204" t="s">
        <v>351</v>
      </c>
      <c r="CJ156" s="204" t="s">
        <v>678</v>
      </c>
      <c r="CK156" s="353">
        <v>-9999</v>
      </c>
      <c r="CM156" s="353">
        <v>-9999</v>
      </c>
      <c r="CO156" s="353">
        <v>-9999</v>
      </c>
      <c r="CS156" s="353">
        <v>-9999</v>
      </c>
      <c r="CT156" s="353">
        <v>-9999</v>
      </c>
      <c r="CV156" s="204" t="s">
        <v>1265</v>
      </c>
      <c r="CW156" s="353">
        <v>3.4283805060700001E-3</v>
      </c>
      <c r="CX156" s="204">
        <v>1104</v>
      </c>
      <c r="CY156" s="204">
        <v>4569</v>
      </c>
      <c r="CZ156" s="204">
        <v>10026</v>
      </c>
      <c r="DA156" s="204">
        <v>6</v>
      </c>
      <c r="DB156" s="353">
        <v>8.6310000000299994E-2</v>
      </c>
      <c r="DC156" s="353">
        <v>2.02945499999E-5</v>
      </c>
      <c r="DD156" s="204">
        <v>10</v>
      </c>
      <c r="DE156" s="353">
        <v>0</v>
      </c>
      <c r="DF156" s="353">
        <v>0</v>
      </c>
      <c r="DG156" s="353">
        <v>0.96529797319699995</v>
      </c>
      <c r="DH156" s="353">
        <v>7424.67324801</v>
      </c>
    </row>
    <row r="157" spans="1:112">
      <c r="A157" s="204">
        <v>1206</v>
      </c>
      <c r="B157" s="204">
        <v>2</v>
      </c>
      <c r="C157" s="204">
        <v>17839</v>
      </c>
      <c r="D157" s="204">
        <v>35</v>
      </c>
      <c r="E157" s="204">
        <v>1206</v>
      </c>
      <c r="F157" s="204">
        <v>9</v>
      </c>
      <c r="G157" s="204">
        <v>1206</v>
      </c>
      <c r="H157" s="204" t="s">
        <v>1018</v>
      </c>
      <c r="I157" s="354">
        <v>37462</v>
      </c>
      <c r="J157" s="204" t="s">
        <v>1018</v>
      </c>
      <c r="K157" s="204" t="s">
        <v>1531</v>
      </c>
      <c r="L157" s="204" t="s">
        <v>1281</v>
      </c>
      <c r="M157" s="204" t="s">
        <v>1019</v>
      </c>
      <c r="N157" s="353">
        <v>100</v>
      </c>
      <c r="O157" s="204" t="s">
        <v>1532</v>
      </c>
      <c r="P157" s="204" t="s">
        <v>1020</v>
      </c>
      <c r="R157" s="204" t="s">
        <v>1248</v>
      </c>
      <c r="S157" s="353">
        <v>12.3</v>
      </c>
      <c r="T157" s="204" t="s">
        <v>721</v>
      </c>
      <c r="U157" s="204" t="s">
        <v>569</v>
      </c>
      <c r="W157" s="204" t="s">
        <v>1021</v>
      </c>
      <c r="Z157" s="204" t="s">
        <v>369</v>
      </c>
      <c r="AA157" s="204" t="s">
        <v>704</v>
      </c>
      <c r="AB157" s="204" t="s">
        <v>1533</v>
      </c>
      <c r="AC157" s="204" t="s">
        <v>1456</v>
      </c>
      <c r="AD157" s="204" t="s">
        <v>1251</v>
      </c>
      <c r="AE157" s="353">
        <v>1278874</v>
      </c>
      <c r="AF157" s="353">
        <v>2608911</v>
      </c>
      <c r="AG157" s="353">
        <v>0</v>
      </c>
      <c r="AH157" s="204" t="s">
        <v>298</v>
      </c>
      <c r="AI157" s="353">
        <v>0</v>
      </c>
      <c r="AJ157" s="353">
        <v>51</v>
      </c>
      <c r="AK157" s="353">
        <v>0</v>
      </c>
      <c r="AL157" s="353">
        <v>0</v>
      </c>
      <c r="AM157" s="353">
        <v>0</v>
      </c>
      <c r="AQ157" s="353">
        <v>0</v>
      </c>
      <c r="BC157" s="353">
        <v>0</v>
      </c>
      <c r="BD157" s="353">
        <v>0</v>
      </c>
      <c r="BF157" s="353">
        <v>0</v>
      </c>
      <c r="BG157" s="204" t="s">
        <v>1248</v>
      </c>
      <c r="BH157" s="204" t="s">
        <v>1248</v>
      </c>
      <c r="BJ157" s="204" t="s">
        <v>1270</v>
      </c>
      <c r="BK157" s="353">
        <v>66624</v>
      </c>
      <c r="BL157" s="353">
        <v>1</v>
      </c>
      <c r="BM157" s="353">
        <v>100</v>
      </c>
      <c r="BN157" s="353">
        <v>8</v>
      </c>
      <c r="BO157" s="353">
        <v>66</v>
      </c>
      <c r="BP157" s="353">
        <v>26</v>
      </c>
      <c r="BQ157" s="353">
        <v>666</v>
      </c>
      <c r="BR157" s="204" t="s">
        <v>1248</v>
      </c>
      <c r="BS157" s="204" t="s">
        <v>1248</v>
      </c>
      <c r="BT157" s="353">
        <v>0</v>
      </c>
      <c r="BU157" s="353">
        <v>535788</v>
      </c>
      <c r="BV157" s="204" t="s">
        <v>1248</v>
      </c>
      <c r="BW157" s="204" t="s">
        <v>1253</v>
      </c>
      <c r="BX157" s="204" t="s">
        <v>1248</v>
      </c>
      <c r="BY157" s="204" t="s">
        <v>1248</v>
      </c>
      <c r="BZ157" s="204" t="s">
        <v>1254</v>
      </c>
      <c r="CA157" s="353">
        <v>66624</v>
      </c>
      <c r="CB157" s="353">
        <v>3163.9824614300001</v>
      </c>
      <c r="CC157" s="204" t="s">
        <v>415</v>
      </c>
      <c r="CD157" s="204" t="s">
        <v>300</v>
      </c>
      <c r="CE157" s="204" t="s">
        <v>301</v>
      </c>
      <c r="CF157" s="204" t="s">
        <v>1068</v>
      </c>
      <c r="CG157" s="204" t="s">
        <v>1256</v>
      </c>
      <c r="CH157" s="204" t="s">
        <v>1298</v>
      </c>
      <c r="CI157" s="204" t="s">
        <v>351</v>
      </c>
      <c r="CJ157" s="204" t="s">
        <v>678</v>
      </c>
      <c r="CK157" s="353">
        <v>-9999</v>
      </c>
      <c r="CM157" s="353">
        <v>-9999</v>
      </c>
      <c r="CO157" s="353">
        <v>-9999</v>
      </c>
      <c r="CS157" s="353">
        <v>-9999</v>
      </c>
      <c r="CT157" s="353">
        <v>-9999</v>
      </c>
      <c r="CV157" s="204" t="s">
        <v>1265</v>
      </c>
      <c r="CW157" s="353">
        <v>3.4283805060700001E-3</v>
      </c>
      <c r="CX157" s="204">
        <v>1206</v>
      </c>
      <c r="CY157" s="204">
        <v>4165</v>
      </c>
      <c r="CZ157" s="204">
        <v>2470</v>
      </c>
      <c r="DA157" s="204">
        <v>6</v>
      </c>
      <c r="DB157" s="353">
        <v>2.7000000034100002E-4</v>
      </c>
      <c r="DC157" s="353">
        <v>4.0500000076900002E-9</v>
      </c>
      <c r="DD157" s="204">
        <v>4</v>
      </c>
      <c r="DE157" s="353">
        <v>555.64108899999997</v>
      </c>
      <c r="DF157" s="353">
        <v>1954.8178325700001</v>
      </c>
      <c r="DG157" s="353">
        <v>0.96529797319699995</v>
      </c>
      <c r="DH157" s="353">
        <v>536113.27077199996</v>
      </c>
    </row>
    <row r="158" spans="1:112">
      <c r="A158" s="204">
        <v>1207</v>
      </c>
      <c r="B158" s="204">
        <v>1</v>
      </c>
      <c r="C158" s="204">
        <v>17840</v>
      </c>
      <c r="D158" s="204">
        <v>0</v>
      </c>
      <c r="E158" s="204">
        <v>1207</v>
      </c>
      <c r="F158" s="204">
        <v>7</v>
      </c>
      <c r="G158" s="204">
        <v>1207</v>
      </c>
      <c r="H158" s="204" t="s">
        <v>718</v>
      </c>
      <c r="I158" s="354">
        <v>37462</v>
      </c>
      <c r="J158" s="204" t="s">
        <v>718</v>
      </c>
      <c r="K158" s="204" t="s">
        <v>1531</v>
      </c>
      <c r="L158" s="204" t="s">
        <v>722</v>
      </c>
      <c r="M158" s="204" t="s">
        <v>719</v>
      </c>
      <c r="N158" s="353">
        <v>100</v>
      </c>
      <c r="P158" s="204" t="s">
        <v>720</v>
      </c>
      <c r="R158" s="204" t="s">
        <v>1248</v>
      </c>
      <c r="S158" s="353">
        <v>30.17</v>
      </c>
      <c r="T158" s="204" t="s">
        <v>721</v>
      </c>
      <c r="U158" s="204" t="s">
        <v>569</v>
      </c>
      <c r="Z158" s="204" t="s">
        <v>369</v>
      </c>
      <c r="AA158" s="204" t="s">
        <v>704</v>
      </c>
      <c r="AC158" s="204" t="s">
        <v>1534</v>
      </c>
      <c r="AD158" s="204" t="s">
        <v>1251</v>
      </c>
      <c r="AE158" s="353">
        <v>6574155</v>
      </c>
      <c r="AF158" s="353">
        <v>14158382</v>
      </c>
      <c r="AG158" s="353">
        <v>0</v>
      </c>
      <c r="AH158" s="204" t="s">
        <v>722</v>
      </c>
      <c r="AI158" s="353">
        <v>1</v>
      </c>
      <c r="AJ158" s="353">
        <v>1</v>
      </c>
      <c r="AK158" s="353">
        <v>0</v>
      </c>
      <c r="AL158" s="353">
        <v>0</v>
      </c>
      <c r="AM158" s="353">
        <v>0</v>
      </c>
      <c r="AQ158" s="353">
        <v>0</v>
      </c>
      <c r="AV158" s="204" t="s">
        <v>723</v>
      </c>
      <c r="AW158" s="204" t="s">
        <v>1248</v>
      </c>
      <c r="AX158" s="204" t="s">
        <v>1253</v>
      </c>
      <c r="AZ158" s="204" t="s">
        <v>1296</v>
      </c>
      <c r="BB158" s="204" t="s">
        <v>723</v>
      </c>
      <c r="BC158" s="353">
        <v>0</v>
      </c>
      <c r="BD158" s="353">
        <v>0</v>
      </c>
      <c r="BE158" s="204" t="s">
        <v>723</v>
      </c>
      <c r="BF158" s="353">
        <v>0</v>
      </c>
      <c r="BG158" s="204" t="s">
        <v>1248</v>
      </c>
      <c r="BH158" s="204" t="s">
        <v>1248</v>
      </c>
      <c r="BI158" s="204" t="s">
        <v>723</v>
      </c>
      <c r="BK158" s="353">
        <v>0</v>
      </c>
      <c r="BL158" s="353">
        <v>0</v>
      </c>
      <c r="BM158" s="353">
        <v>0</v>
      </c>
      <c r="BN158" s="353">
        <v>0</v>
      </c>
      <c r="BO158" s="353">
        <v>0</v>
      </c>
      <c r="BP158" s="353">
        <v>0</v>
      </c>
      <c r="BQ158" s="353">
        <v>0</v>
      </c>
      <c r="BT158" s="353">
        <v>0</v>
      </c>
      <c r="BU158" s="353">
        <v>0</v>
      </c>
      <c r="CA158" s="353">
        <v>0</v>
      </c>
      <c r="CB158" s="353">
        <v>7433.3357542699996</v>
      </c>
      <c r="CC158" s="204" t="s">
        <v>247</v>
      </c>
      <c r="CD158" s="204" t="s">
        <v>300</v>
      </c>
      <c r="CE158" s="204" t="s">
        <v>301</v>
      </c>
      <c r="CF158" s="204" t="s">
        <v>1068</v>
      </c>
      <c r="CG158" s="204" t="s">
        <v>1256</v>
      </c>
      <c r="CH158" s="204" t="s">
        <v>1298</v>
      </c>
      <c r="CI158" s="204" t="s">
        <v>351</v>
      </c>
      <c r="CJ158" s="204" t="s">
        <v>678</v>
      </c>
      <c r="CK158" s="353">
        <v>-9999</v>
      </c>
      <c r="CM158" s="353">
        <v>-9999</v>
      </c>
      <c r="CO158" s="353">
        <v>-9999</v>
      </c>
      <c r="CS158" s="353">
        <v>-9999</v>
      </c>
      <c r="CT158" s="353">
        <v>-9999</v>
      </c>
      <c r="CV158" s="204" t="s">
        <v>1265</v>
      </c>
      <c r="CW158" s="353">
        <v>3.4283805060700001E-3</v>
      </c>
      <c r="CX158" s="204">
        <v>1207</v>
      </c>
      <c r="CY158" s="204">
        <v>4180</v>
      </c>
      <c r="CZ158" s="204">
        <v>2470</v>
      </c>
      <c r="DA158" s="204">
        <v>6</v>
      </c>
      <c r="DB158" s="353">
        <v>2.3310000001599999E-2</v>
      </c>
      <c r="DC158" s="353">
        <v>4.9835249998100002E-6</v>
      </c>
      <c r="DD158" s="204">
        <v>10</v>
      </c>
      <c r="DE158" s="353">
        <v>0</v>
      </c>
      <c r="DF158" s="353">
        <v>0</v>
      </c>
      <c r="DG158" s="353">
        <v>0.96529797319699995</v>
      </c>
      <c r="DH158" s="353">
        <v>1750462.71658</v>
      </c>
    </row>
    <row r="159" spans="1:112">
      <c r="A159" s="204">
        <v>1434</v>
      </c>
      <c r="B159" s="204">
        <v>1</v>
      </c>
      <c r="C159" s="204">
        <v>19440</v>
      </c>
      <c r="D159" s="204">
        <v>2</v>
      </c>
      <c r="E159" s="204">
        <v>1434</v>
      </c>
      <c r="F159" s="204">
        <v>0</v>
      </c>
      <c r="G159" s="204">
        <v>1434</v>
      </c>
      <c r="H159" s="204" t="s">
        <v>1064</v>
      </c>
      <c r="I159" s="354">
        <v>37462</v>
      </c>
      <c r="J159" s="204" t="s">
        <v>1064</v>
      </c>
      <c r="K159" s="204" t="s">
        <v>1531</v>
      </c>
      <c r="L159" s="204" t="s">
        <v>1271</v>
      </c>
      <c r="M159" s="204" t="s">
        <v>1065</v>
      </c>
      <c r="N159" s="353">
        <v>100</v>
      </c>
      <c r="P159" s="204" t="s">
        <v>1066</v>
      </c>
      <c r="R159" s="204" t="s">
        <v>1248</v>
      </c>
      <c r="S159" s="353">
        <v>0</v>
      </c>
      <c r="T159" s="204" t="s">
        <v>1067</v>
      </c>
      <c r="U159" s="204" t="s">
        <v>294</v>
      </c>
      <c r="W159" s="204" t="s">
        <v>1068</v>
      </c>
      <c r="Z159" s="204" t="s">
        <v>369</v>
      </c>
      <c r="AA159" s="204" t="s">
        <v>370</v>
      </c>
      <c r="AB159" s="204" t="s">
        <v>1535</v>
      </c>
      <c r="AC159" s="204" t="s">
        <v>741</v>
      </c>
      <c r="AD159" s="204" t="s">
        <v>1251</v>
      </c>
      <c r="AE159" s="353">
        <v>41804</v>
      </c>
      <c r="AF159" s="353">
        <v>71799</v>
      </c>
      <c r="AG159" s="353">
        <v>0</v>
      </c>
      <c r="AH159" s="204" t="s">
        <v>298</v>
      </c>
      <c r="AI159" s="353">
        <v>1</v>
      </c>
      <c r="AJ159" s="353">
        <v>1</v>
      </c>
      <c r="AK159" s="353">
        <v>0</v>
      </c>
      <c r="AL159" s="353">
        <v>0</v>
      </c>
      <c r="AM159" s="353">
        <v>0</v>
      </c>
      <c r="AQ159" s="353">
        <v>0</v>
      </c>
      <c r="BC159" s="353">
        <v>0</v>
      </c>
      <c r="BD159" s="353">
        <v>0</v>
      </c>
      <c r="BF159" s="353">
        <v>0</v>
      </c>
      <c r="BG159" s="204" t="s">
        <v>1248</v>
      </c>
      <c r="BH159" s="204" t="s">
        <v>1248</v>
      </c>
      <c r="BJ159" s="204" t="s">
        <v>1321</v>
      </c>
      <c r="BK159" s="353">
        <v>1395</v>
      </c>
      <c r="BL159" s="353">
        <v>1</v>
      </c>
      <c r="BM159" s="353">
        <v>3</v>
      </c>
      <c r="BN159" s="353">
        <v>0</v>
      </c>
      <c r="BO159" s="353">
        <v>3</v>
      </c>
      <c r="BP159" s="353">
        <v>0</v>
      </c>
      <c r="BQ159" s="353">
        <v>465</v>
      </c>
      <c r="BR159" s="204" t="s">
        <v>1248</v>
      </c>
      <c r="BS159" s="204" t="s">
        <v>1248</v>
      </c>
      <c r="BT159" s="353">
        <v>0</v>
      </c>
      <c r="BU159" s="353">
        <v>2500</v>
      </c>
      <c r="BV159" s="204" t="s">
        <v>1248</v>
      </c>
      <c r="BW159" s="204" t="s">
        <v>1253</v>
      </c>
      <c r="BX159" s="204" t="s">
        <v>1248</v>
      </c>
      <c r="BY159" s="204" t="s">
        <v>1248</v>
      </c>
      <c r="BZ159" s="204" t="s">
        <v>1254</v>
      </c>
      <c r="CA159" s="353">
        <v>1395</v>
      </c>
      <c r="CB159" s="353">
        <v>249.30962398</v>
      </c>
      <c r="CC159" s="204" t="s">
        <v>503</v>
      </c>
      <c r="CD159" s="204" t="s">
        <v>300</v>
      </c>
      <c r="CE159" s="204" t="s">
        <v>301</v>
      </c>
      <c r="CF159" s="204" t="s">
        <v>1068</v>
      </c>
      <c r="CG159" s="204" t="s">
        <v>1256</v>
      </c>
      <c r="CH159" s="204" t="s">
        <v>1298</v>
      </c>
      <c r="CI159" s="204" t="s">
        <v>351</v>
      </c>
      <c r="CJ159" s="204" t="s">
        <v>678</v>
      </c>
      <c r="CK159" s="353">
        <v>-9999</v>
      </c>
      <c r="CM159" s="353">
        <v>-9999</v>
      </c>
      <c r="CO159" s="353">
        <v>-9999</v>
      </c>
      <c r="CS159" s="353">
        <v>-9999</v>
      </c>
      <c r="CT159" s="353">
        <v>-9999</v>
      </c>
      <c r="CV159" s="204" t="s">
        <v>1265</v>
      </c>
      <c r="CW159" s="353">
        <v>3.4283805060700001E-3</v>
      </c>
      <c r="CX159" s="204">
        <v>1434</v>
      </c>
      <c r="CY159" s="204">
        <v>0</v>
      </c>
      <c r="CZ159" s="204">
        <v>0</v>
      </c>
      <c r="DA159" s="204">
        <v>10</v>
      </c>
      <c r="DB159" s="353">
        <v>0</v>
      </c>
      <c r="DC159" s="353">
        <v>0</v>
      </c>
      <c r="DD159" s="204">
        <v>5</v>
      </c>
      <c r="DE159" s="353">
        <v>2343.1665211300001</v>
      </c>
      <c r="DF159" s="353">
        <v>14829.867717499999</v>
      </c>
      <c r="DG159" s="353">
        <v>0.96529797319699995</v>
      </c>
      <c r="DH159" s="353">
        <v>2441.8634889099999</v>
      </c>
    </row>
    <row r="160" spans="1:112">
      <c r="A160" s="204">
        <v>1436</v>
      </c>
      <c r="B160" s="204">
        <v>1</v>
      </c>
      <c r="C160" s="204">
        <v>19486</v>
      </c>
      <c r="D160" s="204">
        <v>2</v>
      </c>
      <c r="E160" s="204">
        <v>1436</v>
      </c>
      <c r="F160" s="204">
        <v>0</v>
      </c>
      <c r="G160" s="204">
        <v>1436</v>
      </c>
      <c r="H160" s="204" t="s">
        <v>1059</v>
      </c>
      <c r="I160" s="354">
        <v>37462</v>
      </c>
      <c r="J160" s="204" t="s">
        <v>1059</v>
      </c>
      <c r="K160" s="204" t="s">
        <v>1531</v>
      </c>
      <c r="L160" s="204" t="s">
        <v>1294</v>
      </c>
      <c r="M160" s="204" t="s">
        <v>1060</v>
      </c>
      <c r="N160" s="353">
        <v>100</v>
      </c>
      <c r="P160" s="204" t="s">
        <v>1061</v>
      </c>
      <c r="R160" s="204" t="s">
        <v>1248</v>
      </c>
      <c r="S160" s="353">
        <v>0</v>
      </c>
      <c r="T160" s="204" t="s">
        <v>1062</v>
      </c>
      <c r="U160" s="204" t="s">
        <v>307</v>
      </c>
      <c r="W160" s="204" t="s">
        <v>1063</v>
      </c>
      <c r="X160" s="204" t="s">
        <v>1138</v>
      </c>
      <c r="Z160" s="204" t="s">
        <v>369</v>
      </c>
      <c r="AA160" s="204" t="s">
        <v>370</v>
      </c>
      <c r="AB160" s="204" t="s">
        <v>1536</v>
      </c>
      <c r="AC160" s="204" t="s">
        <v>1292</v>
      </c>
      <c r="AD160" s="204" t="s">
        <v>1251</v>
      </c>
      <c r="AE160" s="353">
        <v>63178</v>
      </c>
      <c r="AF160" s="353">
        <v>115827</v>
      </c>
      <c r="AG160" s="353">
        <v>0</v>
      </c>
      <c r="AH160" s="204" t="s">
        <v>298</v>
      </c>
      <c r="AI160" s="353">
        <v>0</v>
      </c>
      <c r="AJ160" s="353">
        <v>3</v>
      </c>
      <c r="AK160" s="353">
        <v>0</v>
      </c>
      <c r="AL160" s="353">
        <v>0</v>
      </c>
      <c r="AM160" s="353">
        <v>0</v>
      </c>
      <c r="AQ160" s="353">
        <v>0</v>
      </c>
      <c r="BC160" s="353">
        <v>0</v>
      </c>
      <c r="BD160" s="353">
        <v>0</v>
      </c>
      <c r="BF160" s="353">
        <v>0</v>
      </c>
      <c r="BG160" s="204" t="s">
        <v>1248</v>
      </c>
      <c r="BH160" s="204" t="s">
        <v>1248</v>
      </c>
      <c r="BJ160" s="204" t="s">
        <v>1270</v>
      </c>
      <c r="BK160" s="353">
        <v>3912</v>
      </c>
      <c r="BL160" s="353">
        <v>1</v>
      </c>
      <c r="BM160" s="353">
        <v>3</v>
      </c>
      <c r="BN160" s="353">
        <v>0</v>
      </c>
      <c r="BO160" s="353">
        <v>0</v>
      </c>
      <c r="BP160" s="353">
        <v>3</v>
      </c>
      <c r="BQ160" s="353">
        <v>1304</v>
      </c>
      <c r="BR160" s="204" t="s">
        <v>1261</v>
      </c>
      <c r="BS160" s="204" t="s">
        <v>1248</v>
      </c>
      <c r="BT160" s="353">
        <v>3</v>
      </c>
      <c r="BU160" s="353">
        <v>8438</v>
      </c>
      <c r="BV160" s="204" t="s">
        <v>1248</v>
      </c>
      <c r="BW160" s="204" t="s">
        <v>1253</v>
      </c>
      <c r="BX160" s="204" t="s">
        <v>1248</v>
      </c>
      <c r="BY160" s="204" t="s">
        <v>1248</v>
      </c>
      <c r="BZ160" s="204" t="s">
        <v>1254</v>
      </c>
      <c r="CA160" s="353">
        <v>3912</v>
      </c>
      <c r="CB160" s="353">
        <v>373.716093914</v>
      </c>
      <c r="CC160" s="204" t="s">
        <v>498</v>
      </c>
      <c r="CD160" s="204" t="s">
        <v>300</v>
      </c>
      <c r="CE160" s="204" t="s">
        <v>301</v>
      </c>
      <c r="CF160" s="204" t="s">
        <v>1068</v>
      </c>
      <c r="CG160" s="204" t="s">
        <v>1256</v>
      </c>
      <c r="CH160" s="204" t="s">
        <v>1298</v>
      </c>
      <c r="CI160" s="204" t="s">
        <v>351</v>
      </c>
      <c r="CJ160" s="204" t="s">
        <v>678</v>
      </c>
      <c r="CK160" s="353">
        <v>-9999</v>
      </c>
      <c r="CM160" s="353">
        <v>-9999</v>
      </c>
      <c r="CO160" s="353">
        <v>-9999</v>
      </c>
      <c r="CS160" s="353">
        <v>-9999</v>
      </c>
      <c r="CT160" s="353">
        <v>-9999</v>
      </c>
      <c r="CV160" s="204" t="s">
        <v>1265</v>
      </c>
      <c r="CW160" s="353">
        <v>3.4283805060700001E-3</v>
      </c>
      <c r="CX160" s="204">
        <v>1436</v>
      </c>
      <c r="CY160" s="204">
        <v>0</v>
      </c>
      <c r="CZ160" s="204">
        <v>0</v>
      </c>
      <c r="DA160" s="204">
        <v>10</v>
      </c>
      <c r="DB160" s="353">
        <v>0</v>
      </c>
      <c r="DC160" s="353">
        <v>0</v>
      </c>
      <c r="DD160" s="204">
        <v>5</v>
      </c>
      <c r="DE160" s="353">
        <v>2343.1665211300001</v>
      </c>
      <c r="DF160" s="353">
        <v>14829.867717499999</v>
      </c>
      <c r="DG160" s="353">
        <v>0.96529797319699995</v>
      </c>
      <c r="DH160" s="353">
        <v>8375.1649694000007</v>
      </c>
    </row>
    <row r="161" spans="1:112">
      <c r="A161" s="204">
        <v>1441</v>
      </c>
      <c r="B161" s="204">
        <v>1</v>
      </c>
      <c r="C161" s="204">
        <v>19570</v>
      </c>
      <c r="D161" s="204">
        <v>1</v>
      </c>
      <c r="E161" s="204">
        <v>1441</v>
      </c>
      <c r="F161" s="204">
        <v>0</v>
      </c>
      <c r="G161" s="204">
        <v>1441</v>
      </c>
      <c r="H161" s="204" t="s">
        <v>1069</v>
      </c>
      <c r="I161" s="354">
        <v>37462</v>
      </c>
      <c r="J161" s="204" t="s">
        <v>1069</v>
      </c>
      <c r="K161" s="204" t="s">
        <v>1531</v>
      </c>
      <c r="L161" s="204" t="s">
        <v>1266</v>
      </c>
      <c r="M161" s="204" t="s">
        <v>1070</v>
      </c>
      <c r="N161" s="353">
        <v>100</v>
      </c>
      <c r="P161" s="204" t="s">
        <v>1071</v>
      </c>
      <c r="R161" s="204" t="s">
        <v>1248</v>
      </c>
      <c r="S161" s="353">
        <v>0</v>
      </c>
      <c r="T161" s="204" t="s">
        <v>1072</v>
      </c>
      <c r="U161" s="204" t="s">
        <v>307</v>
      </c>
      <c r="W161" s="204" t="s">
        <v>1026</v>
      </c>
      <c r="Z161" s="204" t="s">
        <v>369</v>
      </c>
      <c r="AA161" s="204" t="s">
        <v>370</v>
      </c>
      <c r="AB161" s="204" t="s">
        <v>1537</v>
      </c>
      <c r="AC161" s="204" t="s">
        <v>1259</v>
      </c>
      <c r="AD161" s="204" t="s">
        <v>1251</v>
      </c>
      <c r="AE161" s="353">
        <v>39900</v>
      </c>
      <c r="AF161" s="353">
        <v>160100</v>
      </c>
      <c r="AG161" s="353">
        <v>0</v>
      </c>
      <c r="AH161" s="204" t="s">
        <v>298</v>
      </c>
      <c r="AI161" s="353">
        <v>1</v>
      </c>
      <c r="AJ161" s="353">
        <v>1</v>
      </c>
      <c r="AK161" s="353">
        <v>0</v>
      </c>
      <c r="AL161" s="353">
        <v>0</v>
      </c>
      <c r="AM161" s="353">
        <v>0</v>
      </c>
      <c r="AQ161" s="353">
        <v>0</v>
      </c>
      <c r="BC161" s="353">
        <v>0</v>
      </c>
      <c r="BD161" s="353">
        <v>0</v>
      </c>
      <c r="BF161" s="353">
        <v>0</v>
      </c>
      <c r="BG161" s="204" t="s">
        <v>1248</v>
      </c>
      <c r="BH161" s="204" t="s">
        <v>1248</v>
      </c>
      <c r="BJ161" s="204" t="s">
        <v>1270</v>
      </c>
      <c r="BK161" s="353">
        <v>3640</v>
      </c>
      <c r="BL161" s="353">
        <v>2</v>
      </c>
      <c r="BM161" s="353">
        <v>5</v>
      </c>
      <c r="BN161" s="353">
        <v>0</v>
      </c>
      <c r="BO161" s="353">
        <v>5</v>
      </c>
      <c r="BP161" s="353">
        <v>0</v>
      </c>
      <c r="BQ161" s="353">
        <v>728</v>
      </c>
      <c r="BR161" s="204" t="s">
        <v>1248</v>
      </c>
      <c r="BS161" s="204" t="s">
        <v>1271</v>
      </c>
      <c r="BT161" s="353">
        <v>5</v>
      </c>
      <c r="BU161" s="353">
        <v>7031</v>
      </c>
      <c r="BV161" s="204" t="s">
        <v>1248</v>
      </c>
      <c r="BW161" s="204" t="s">
        <v>1253</v>
      </c>
      <c r="BX161" s="204" t="s">
        <v>1248</v>
      </c>
      <c r="BY161" s="204" t="s">
        <v>1248</v>
      </c>
      <c r="BZ161" s="204" t="s">
        <v>771</v>
      </c>
      <c r="CA161" s="353">
        <v>3640</v>
      </c>
      <c r="CB161" s="353">
        <v>351.92280288799998</v>
      </c>
      <c r="CC161" s="204" t="s">
        <v>299</v>
      </c>
      <c r="CD161" s="204" t="s">
        <v>300</v>
      </c>
      <c r="CE161" s="204" t="s">
        <v>301</v>
      </c>
      <c r="CF161" s="204" t="s">
        <v>1068</v>
      </c>
      <c r="CG161" s="204" t="s">
        <v>1256</v>
      </c>
      <c r="CH161" s="204" t="s">
        <v>1298</v>
      </c>
      <c r="CI161" s="204" t="s">
        <v>351</v>
      </c>
      <c r="CJ161" s="204" t="s">
        <v>678</v>
      </c>
      <c r="CK161" s="353">
        <v>-9999</v>
      </c>
      <c r="CM161" s="353">
        <v>-9999</v>
      </c>
      <c r="CO161" s="353">
        <v>-9999</v>
      </c>
      <c r="CS161" s="353">
        <v>-9999</v>
      </c>
      <c r="CT161" s="353">
        <v>-9999</v>
      </c>
      <c r="CV161" s="204" t="s">
        <v>1265</v>
      </c>
      <c r="CW161" s="353">
        <v>3.4283805060700001E-3</v>
      </c>
      <c r="CX161" s="204">
        <v>1441</v>
      </c>
      <c r="CY161" s="204">
        <v>0</v>
      </c>
      <c r="CZ161" s="204">
        <v>0</v>
      </c>
      <c r="DA161" s="204">
        <v>10</v>
      </c>
      <c r="DB161" s="353">
        <v>0</v>
      </c>
      <c r="DC161" s="353">
        <v>0</v>
      </c>
      <c r="DD161" s="204">
        <v>6</v>
      </c>
      <c r="DE161" s="353">
        <v>5968.4947514100004</v>
      </c>
      <c r="DF161" s="353">
        <v>57542.0660326</v>
      </c>
      <c r="DG161" s="353">
        <v>0.96529797319699995</v>
      </c>
      <c r="DH161" s="353">
        <v>7105.76919946</v>
      </c>
    </row>
    <row r="162" spans="1:112">
      <c r="A162" s="204">
        <v>1442</v>
      </c>
      <c r="B162" s="204">
        <v>1</v>
      </c>
      <c r="C162" s="204">
        <v>19577</v>
      </c>
      <c r="D162" s="204">
        <v>1</v>
      </c>
      <c r="E162" s="204">
        <v>1442</v>
      </c>
      <c r="F162" s="204">
        <v>0</v>
      </c>
      <c r="G162" s="204">
        <v>1442</v>
      </c>
      <c r="H162" s="204" t="s">
        <v>1135</v>
      </c>
      <c r="I162" s="354">
        <v>37462</v>
      </c>
      <c r="J162" s="204" t="s">
        <v>1135</v>
      </c>
      <c r="K162" s="204" t="s">
        <v>1531</v>
      </c>
      <c r="L162" s="204" t="s">
        <v>302</v>
      </c>
      <c r="M162" s="204" t="s">
        <v>1136</v>
      </c>
      <c r="N162" s="353">
        <v>100</v>
      </c>
      <c r="O162" s="204" t="s">
        <v>1538</v>
      </c>
      <c r="P162" s="204" t="s">
        <v>1137</v>
      </c>
      <c r="R162" s="204" t="s">
        <v>1248</v>
      </c>
      <c r="S162" s="353">
        <v>0</v>
      </c>
      <c r="T162" s="204" t="s">
        <v>1132</v>
      </c>
      <c r="U162" s="204" t="s">
        <v>307</v>
      </c>
      <c r="W162" s="204" t="s">
        <v>1138</v>
      </c>
      <c r="X162" s="204" t="s">
        <v>1539</v>
      </c>
      <c r="Z162" s="204" t="s">
        <v>369</v>
      </c>
      <c r="AA162" s="204" t="s">
        <v>370</v>
      </c>
      <c r="AB162" s="204" t="s">
        <v>1540</v>
      </c>
      <c r="AC162" s="204" t="s">
        <v>1250</v>
      </c>
      <c r="AD162" s="204" t="s">
        <v>1251</v>
      </c>
      <c r="AE162" s="353">
        <v>63178</v>
      </c>
      <c r="AF162" s="353">
        <v>168477</v>
      </c>
      <c r="AG162" s="353">
        <v>0</v>
      </c>
      <c r="AH162" s="204" t="s">
        <v>298</v>
      </c>
      <c r="AI162" s="353">
        <v>1</v>
      </c>
      <c r="AJ162" s="353">
        <v>1</v>
      </c>
      <c r="AK162" s="353">
        <v>0</v>
      </c>
      <c r="AL162" s="353">
        <v>0</v>
      </c>
      <c r="AM162" s="353">
        <v>0</v>
      </c>
      <c r="AQ162" s="353">
        <v>0</v>
      </c>
      <c r="BC162" s="353">
        <v>0</v>
      </c>
      <c r="BD162" s="353">
        <v>0</v>
      </c>
      <c r="BF162" s="353">
        <v>0</v>
      </c>
      <c r="BG162" s="204" t="s">
        <v>1248</v>
      </c>
      <c r="BH162" s="204" t="s">
        <v>1248</v>
      </c>
      <c r="BJ162" s="204" t="s">
        <v>1301</v>
      </c>
      <c r="BK162" s="353">
        <v>2624</v>
      </c>
      <c r="BL162" s="353">
        <v>2</v>
      </c>
      <c r="BM162" s="353">
        <v>4</v>
      </c>
      <c r="BN162" s="353">
        <v>4</v>
      </c>
      <c r="BO162" s="353">
        <v>0</v>
      </c>
      <c r="BP162" s="353">
        <v>0</v>
      </c>
      <c r="BQ162" s="353">
        <v>656</v>
      </c>
      <c r="BR162" s="204" t="s">
        <v>1248</v>
      </c>
      <c r="BS162" s="204" t="s">
        <v>1248</v>
      </c>
      <c r="BT162" s="353">
        <v>0</v>
      </c>
      <c r="BU162" s="353">
        <v>5625</v>
      </c>
      <c r="BX162" s="204" t="s">
        <v>1248</v>
      </c>
      <c r="BY162" s="204" t="s">
        <v>1248</v>
      </c>
      <c r="BZ162" s="204" t="s">
        <v>736</v>
      </c>
      <c r="CA162" s="353">
        <v>2624</v>
      </c>
      <c r="CB162" s="353">
        <v>325.55752270400001</v>
      </c>
      <c r="CC162" s="204" t="s">
        <v>517</v>
      </c>
      <c r="CD162" s="204" t="s">
        <v>300</v>
      </c>
      <c r="CE162" s="204" t="s">
        <v>301</v>
      </c>
      <c r="CF162" s="204" t="s">
        <v>1068</v>
      </c>
      <c r="CG162" s="204" t="s">
        <v>1256</v>
      </c>
      <c r="CH162" s="204" t="s">
        <v>1298</v>
      </c>
      <c r="CI162" s="204" t="s">
        <v>351</v>
      </c>
      <c r="CJ162" s="204" t="s">
        <v>678</v>
      </c>
      <c r="CK162" s="353">
        <v>-9999</v>
      </c>
      <c r="CM162" s="353">
        <v>-9999</v>
      </c>
      <c r="CO162" s="353">
        <v>-9999</v>
      </c>
      <c r="CS162" s="353">
        <v>-9999</v>
      </c>
      <c r="CT162" s="353">
        <v>-9999</v>
      </c>
      <c r="CV162" s="204" t="s">
        <v>1265</v>
      </c>
      <c r="CW162" s="353">
        <v>3.4283805060700001E-3</v>
      </c>
      <c r="CX162" s="204">
        <v>1442</v>
      </c>
      <c r="CY162" s="204">
        <v>0</v>
      </c>
      <c r="CZ162" s="204">
        <v>0</v>
      </c>
      <c r="DA162" s="204">
        <v>10</v>
      </c>
      <c r="DB162" s="353">
        <v>0</v>
      </c>
      <c r="DC162" s="353">
        <v>0</v>
      </c>
      <c r="DD162" s="204">
        <v>6</v>
      </c>
      <c r="DE162" s="353">
        <v>5968.4947514100004</v>
      </c>
      <c r="DF162" s="353">
        <v>57542.0660326</v>
      </c>
      <c r="DG162" s="353">
        <v>0.96529797319699995</v>
      </c>
      <c r="DH162" s="353">
        <v>5708.1865865500004</v>
      </c>
    </row>
    <row r="163" spans="1:112">
      <c r="A163" s="204">
        <v>1443</v>
      </c>
      <c r="B163" s="204">
        <v>1</v>
      </c>
      <c r="C163" s="204">
        <v>19578</v>
      </c>
      <c r="D163" s="204">
        <v>1</v>
      </c>
      <c r="E163" s="204">
        <v>1443</v>
      </c>
      <c r="F163" s="204">
        <v>0</v>
      </c>
      <c r="G163" s="204">
        <v>1443</v>
      </c>
      <c r="H163" s="204" t="s">
        <v>1139</v>
      </c>
      <c r="I163" s="354">
        <v>37462</v>
      </c>
      <c r="J163" s="204" t="s">
        <v>1139</v>
      </c>
      <c r="K163" s="204" t="s">
        <v>1531</v>
      </c>
      <c r="L163" s="204" t="s">
        <v>1294</v>
      </c>
      <c r="M163" s="204" t="s">
        <v>1140</v>
      </c>
      <c r="N163" s="353">
        <v>100</v>
      </c>
      <c r="P163" s="204" t="s">
        <v>1141</v>
      </c>
      <c r="R163" s="204" t="s">
        <v>1248</v>
      </c>
      <c r="S163" s="353">
        <v>0</v>
      </c>
      <c r="T163" s="204" t="s">
        <v>1132</v>
      </c>
      <c r="U163" s="204" t="s">
        <v>307</v>
      </c>
      <c r="W163" s="204" t="s">
        <v>1142</v>
      </c>
      <c r="Z163" s="204" t="s">
        <v>369</v>
      </c>
      <c r="AA163" s="204" t="s">
        <v>370</v>
      </c>
      <c r="AB163" s="204" t="s">
        <v>1541</v>
      </c>
      <c r="AC163" s="204" t="s">
        <v>1250</v>
      </c>
      <c r="AD163" s="204" t="s">
        <v>1251</v>
      </c>
      <c r="AE163" s="353">
        <v>31587</v>
      </c>
      <c r="AF163" s="353">
        <v>89503</v>
      </c>
      <c r="AG163" s="353">
        <v>0</v>
      </c>
      <c r="AH163" s="204" t="s">
        <v>298</v>
      </c>
      <c r="AI163" s="353">
        <v>1</v>
      </c>
      <c r="AJ163" s="353">
        <v>1</v>
      </c>
      <c r="AK163" s="353">
        <v>0</v>
      </c>
      <c r="AL163" s="353">
        <v>0</v>
      </c>
      <c r="AM163" s="353">
        <v>0</v>
      </c>
      <c r="AQ163" s="353">
        <v>0</v>
      </c>
      <c r="BC163" s="353">
        <v>0</v>
      </c>
      <c r="BD163" s="353">
        <v>0</v>
      </c>
      <c r="BF163" s="353">
        <v>0</v>
      </c>
      <c r="BG163" s="204" t="s">
        <v>1248</v>
      </c>
      <c r="BH163" s="204" t="s">
        <v>1248</v>
      </c>
      <c r="BJ163" s="204" t="s">
        <v>1301</v>
      </c>
      <c r="BK163" s="353">
        <v>2560</v>
      </c>
      <c r="BL163" s="353">
        <v>2</v>
      </c>
      <c r="BM163" s="353">
        <v>4</v>
      </c>
      <c r="BN163" s="353">
        <v>4</v>
      </c>
      <c r="BO163" s="353">
        <v>0</v>
      </c>
      <c r="BP163" s="353">
        <v>0</v>
      </c>
      <c r="BQ163" s="353">
        <v>640</v>
      </c>
      <c r="BR163" s="204" t="s">
        <v>1261</v>
      </c>
      <c r="BS163" s="204" t="s">
        <v>1248</v>
      </c>
      <c r="BT163" s="353">
        <v>1</v>
      </c>
      <c r="BU163" s="353">
        <v>5625</v>
      </c>
      <c r="BV163" s="204" t="s">
        <v>1248</v>
      </c>
      <c r="BW163" s="204" t="s">
        <v>1253</v>
      </c>
      <c r="BX163" s="204" t="s">
        <v>1248</v>
      </c>
      <c r="BY163" s="204" t="s">
        <v>1248</v>
      </c>
      <c r="BZ163" s="204" t="s">
        <v>1254</v>
      </c>
      <c r="CA163" s="353">
        <v>2560</v>
      </c>
      <c r="CB163" s="353">
        <v>321.63294193399997</v>
      </c>
      <c r="CC163" s="204" t="s">
        <v>517</v>
      </c>
      <c r="CD163" s="204" t="s">
        <v>300</v>
      </c>
      <c r="CE163" s="204" t="s">
        <v>301</v>
      </c>
      <c r="CF163" s="204" t="s">
        <v>1068</v>
      </c>
      <c r="CG163" s="204" t="s">
        <v>1256</v>
      </c>
      <c r="CH163" s="204" t="s">
        <v>1298</v>
      </c>
      <c r="CI163" s="204" t="s">
        <v>351</v>
      </c>
      <c r="CJ163" s="204" t="s">
        <v>678</v>
      </c>
      <c r="CK163" s="353">
        <v>-9999</v>
      </c>
      <c r="CM163" s="353">
        <v>-9999</v>
      </c>
      <c r="CO163" s="353">
        <v>-9999</v>
      </c>
      <c r="CS163" s="353">
        <v>-9999</v>
      </c>
      <c r="CT163" s="353">
        <v>-9999</v>
      </c>
      <c r="CV163" s="204" t="s">
        <v>1265</v>
      </c>
      <c r="CW163" s="353">
        <v>3.4283805060700001E-3</v>
      </c>
      <c r="CX163" s="204">
        <v>1443</v>
      </c>
      <c r="CY163" s="204">
        <v>0</v>
      </c>
      <c r="CZ163" s="204">
        <v>0</v>
      </c>
      <c r="DA163" s="204">
        <v>10</v>
      </c>
      <c r="DB163" s="353">
        <v>0</v>
      </c>
      <c r="DC163" s="353">
        <v>0</v>
      </c>
      <c r="DD163" s="204">
        <v>6</v>
      </c>
      <c r="DE163" s="353">
        <v>5968.4947514100004</v>
      </c>
      <c r="DF163" s="353">
        <v>57542.0660326</v>
      </c>
      <c r="DG163" s="353">
        <v>0.96529797319699995</v>
      </c>
      <c r="DH163" s="353">
        <v>5482.1316843200002</v>
      </c>
    </row>
    <row r="164" spans="1:112">
      <c r="A164" s="204">
        <v>1445</v>
      </c>
      <c r="B164" s="204">
        <v>1</v>
      </c>
      <c r="C164" s="204">
        <v>19598</v>
      </c>
      <c r="D164" s="204">
        <v>1</v>
      </c>
      <c r="E164" s="204">
        <v>1445</v>
      </c>
      <c r="F164" s="204">
        <v>0</v>
      </c>
      <c r="G164" s="204">
        <v>1445</v>
      </c>
      <c r="H164" s="204" t="s">
        <v>1124</v>
      </c>
      <c r="I164" s="354">
        <v>37462</v>
      </c>
      <c r="J164" s="204" t="s">
        <v>1124</v>
      </c>
      <c r="K164" s="204" t="s">
        <v>1531</v>
      </c>
      <c r="L164" s="204" t="s">
        <v>1294</v>
      </c>
      <c r="M164" s="204" t="s">
        <v>1125</v>
      </c>
      <c r="N164" s="353">
        <v>100</v>
      </c>
      <c r="P164" s="204" t="s">
        <v>1126</v>
      </c>
      <c r="R164" s="204" t="s">
        <v>1248</v>
      </c>
      <c r="S164" s="353">
        <v>0</v>
      </c>
      <c r="T164" s="204" t="s">
        <v>1025</v>
      </c>
      <c r="U164" s="204" t="s">
        <v>307</v>
      </c>
      <c r="W164" s="204" t="s">
        <v>1127</v>
      </c>
      <c r="Z164" s="204" t="s">
        <v>369</v>
      </c>
      <c r="AA164" s="204" t="s">
        <v>370</v>
      </c>
      <c r="AB164" s="204" t="s">
        <v>1542</v>
      </c>
      <c r="AC164" s="204" t="s">
        <v>1278</v>
      </c>
      <c r="AD164" s="204" t="s">
        <v>384</v>
      </c>
      <c r="AE164" s="353">
        <v>32478</v>
      </c>
      <c r="AF164" s="353">
        <v>10610</v>
      </c>
      <c r="AG164" s="353">
        <v>0</v>
      </c>
      <c r="AH164" s="204" t="s">
        <v>423</v>
      </c>
      <c r="AI164" s="353">
        <v>1</v>
      </c>
      <c r="AJ164" s="353">
        <v>1</v>
      </c>
      <c r="AK164" s="353">
        <v>6</v>
      </c>
      <c r="AL164" s="353">
        <v>2</v>
      </c>
      <c r="AM164" s="353">
        <v>10</v>
      </c>
      <c r="AN164" s="204" t="s">
        <v>186</v>
      </c>
      <c r="AO164" s="204" t="s">
        <v>1248</v>
      </c>
      <c r="AP164" s="204" t="s">
        <v>1248</v>
      </c>
      <c r="AQ164" s="353">
        <v>0</v>
      </c>
      <c r="AR164" s="204" t="s">
        <v>1248</v>
      </c>
      <c r="AS164" s="204" t="s">
        <v>1248</v>
      </c>
      <c r="AT164" s="204" t="s">
        <v>1248</v>
      </c>
      <c r="AU164" s="204" t="s">
        <v>1248</v>
      </c>
      <c r="AV164" s="204" t="s">
        <v>1128</v>
      </c>
      <c r="AW164" s="204" t="s">
        <v>1248</v>
      </c>
      <c r="AX164" s="204" t="s">
        <v>1253</v>
      </c>
      <c r="AZ164" s="204" t="s">
        <v>1248</v>
      </c>
      <c r="BB164" s="204" t="s">
        <v>1128</v>
      </c>
      <c r="BC164" s="353">
        <v>5650</v>
      </c>
      <c r="BD164" s="353">
        <v>1867</v>
      </c>
      <c r="BE164" s="204" t="s">
        <v>723</v>
      </c>
      <c r="BF164" s="353">
        <v>0</v>
      </c>
      <c r="BG164" s="204" t="s">
        <v>1248</v>
      </c>
      <c r="BH164" s="204" t="s">
        <v>1296</v>
      </c>
      <c r="BI164" s="204" t="s">
        <v>646</v>
      </c>
      <c r="BK164" s="353">
        <v>0</v>
      </c>
      <c r="BL164" s="353">
        <v>0</v>
      </c>
      <c r="BM164" s="353">
        <v>0</v>
      </c>
      <c r="BN164" s="353">
        <v>0</v>
      </c>
      <c r="BO164" s="353">
        <v>0</v>
      </c>
      <c r="BP164" s="353">
        <v>0</v>
      </c>
      <c r="BQ164" s="353">
        <v>0</v>
      </c>
      <c r="BT164" s="353">
        <v>0</v>
      </c>
      <c r="BU164" s="353">
        <v>0</v>
      </c>
      <c r="CA164" s="353">
        <v>0</v>
      </c>
      <c r="CB164" s="353">
        <v>326.00814656300003</v>
      </c>
      <c r="CC164" s="204" t="s">
        <v>425</v>
      </c>
      <c r="CD164" s="204" t="s">
        <v>300</v>
      </c>
      <c r="CE164" s="204" t="s">
        <v>301</v>
      </c>
      <c r="CF164" s="204" t="s">
        <v>1068</v>
      </c>
      <c r="CG164" s="204" t="s">
        <v>1256</v>
      </c>
      <c r="CH164" s="204" t="s">
        <v>1298</v>
      </c>
      <c r="CI164" s="204" t="s">
        <v>351</v>
      </c>
      <c r="CJ164" s="204" t="s">
        <v>678</v>
      </c>
      <c r="CK164" s="353">
        <v>-9999</v>
      </c>
      <c r="CM164" s="353">
        <v>-9999</v>
      </c>
      <c r="CO164" s="353">
        <v>-9999</v>
      </c>
      <c r="CS164" s="353">
        <v>-9999</v>
      </c>
      <c r="CT164" s="353">
        <v>-9999</v>
      </c>
      <c r="CV164" s="204" t="s">
        <v>1265</v>
      </c>
      <c r="CW164" s="353">
        <v>3.4283805060700001E-3</v>
      </c>
      <c r="CX164" s="204">
        <v>1445</v>
      </c>
      <c r="CY164" s="204">
        <v>0</v>
      </c>
      <c r="CZ164" s="204">
        <v>0</v>
      </c>
      <c r="DA164" s="204">
        <v>10</v>
      </c>
      <c r="DB164" s="353">
        <v>0</v>
      </c>
      <c r="DC164" s="353">
        <v>0</v>
      </c>
      <c r="DD164" s="204">
        <v>6</v>
      </c>
      <c r="DE164" s="353">
        <v>5968.4947514100004</v>
      </c>
      <c r="DF164" s="353">
        <v>57542.0660326</v>
      </c>
      <c r="DG164" s="353">
        <v>0.96529797319699995</v>
      </c>
      <c r="DH164" s="353">
        <v>5642.0042549199998</v>
      </c>
    </row>
    <row r="165" spans="1:112">
      <c r="A165" s="204">
        <v>1447</v>
      </c>
      <c r="B165" s="204">
        <v>1</v>
      </c>
      <c r="C165" s="204">
        <v>19610</v>
      </c>
      <c r="D165" s="204">
        <v>1</v>
      </c>
      <c r="E165" s="204">
        <v>1447</v>
      </c>
      <c r="F165" s="204">
        <v>0</v>
      </c>
      <c r="G165" s="204">
        <v>1447</v>
      </c>
      <c r="H165" s="204" t="s">
        <v>1143</v>
      </c>
      <c r="I165" s="354">
        <v>37462</v>
      </c>
      <c r="J165" s="204" t="s">
        <v>1143</v>
      </c>
      <c r="K165" s="204" t="s">
        <v>1531</v>
      </c>
      <c r="L165" s="204" t="s">
        <v>1288</v>
      </c>
      <c r="M165" s="204" t="s">
        <v>1144</v>
      </c>
      <c r="N165" s="353">
        <v>100</v>
      </c>
      <c r="P165" s="204" t="s">
        <v>1145</v>
      </c>
      <c r="R165" s="204" t="s">
        <v>1248</v>
      </c>
      <c r="S165" s="353">
        <v>0</v>
      </c>
      <c r="T165" s="204" t="s">
        <v>1025</v>
      </c>
      <c r="U165" s="204" t="s">
        <v>307</v>
      </c>
      <c r="W165" s="204" t="s">
        <v>1146</v>
      </c>
      <c r="Z165" s="204" t="s">
        <v>369</v>
      </c>
      <c r="AA165" s="204" t="s">
        <v>370</v>
      </c>
      <c r="AB165" s="204" t="s">
        <v>1542</v>
      </c>
      <c r="AC165" s="204" t="s">
        <v>1250</v>
      </c>
      <c r="AD165" s="204" t="s">
        <v>1251</v>
      </c>
      <c r="AE165" s="353">
        <v>13432</v>
      </c>
      <c r="AF165" s="353">
        <v>44191</v>
      </c>
      <c r="AG165" s="353">
        <v>0</v>
      </c>
      <c r="AH165" s="204" t="s">
        <v>298</v>
      </c>
      <c r="AI165" s="353">
        <v>1</v>
      </c>
      <c r="AJ165" s="353">
        <v>1</v>
      </c>
      <c r="AK165" s="353">
        <v>0</v>
      </c>
      <c r="AL165" s="353">
        <v>0</v>
      </c>
      <c r="AM165" s="353">
        <v>0</v>
      </c>
      <c r="AQ165" s="353">
        <v>0</v>
      </c>
      <c r="BC165" s="353">
        <v>0</v>
      </c>
      <c r="BD165" s="353">
        <v>0</v>
      </c>
      <c r="BF165" s="353">
        <v>0</v>
      </c>
      <c r="BG165" s="204" t="s">
        <v>1248</v>
      </c>
      <c r="BH165" s="204" t="s">
        <v>1248</v>
      </c>
      <c r="BJ165" s="204" t="s">
        <v>1301</v>
      </c>
      <c r="BK165" s="353">
        <v>3004</v>
      </c>
      <c r="BL165" s="353">
        <v>2</v>
      </c>
      <c r="BM165" s="353">
        <v>4</v>
      </c>
      <c r="BN165" s="353">
        <v>0</v>
      </c>
      <c r="BO165" s="353">
        <v>4</v>
      </c>
      <c r="BP165" s="353">
        <v>0</v>
      </c>
      <c r="BQ165" s="353">
        <v>751</v>
      </c>
      <c r="BR165" s="204" t="s">
        <v>1248</v>
      </c>
      <c r="BS165" s="204" t="s">
        <v>1271</v>
      </c>
      <c r="BT165" s="353">
        <v>4</v>
      </c>
      <c r="BU165" s="353">
        <v>5625</v>
      </c>
      <c r="BV165" s="204" t="s">
        <v>1248</v>
      </c>
      <c r="BW165" s="204" t="s">
        <v>1253</v>
      </c>
      <c r="BX165" s="204" t="s">
        <v>1248</v>
      </c>
      <c r="BY165" s="204" t="s">
        <v>1248</v>
      </c>
      <c r="CA165" s="353">
        <v>3004</v>
      </c>
      <c r="CB165" s="353">
        <v>327.53387911599998</v>
      </c>
      <c r="CC165" s="204" t="s">
        <v>517</v>
      </c>
      <c r="CD165" s="204" t="s">
        <v>300</v>
      </c>
      <c r="CE165" s="204" t="s">
        <v>301</v>
      </c>
      <c r="CF165" s="204" t="s">
        <v>1068</v>
      </c>
      <c r="CG165" s="204" t="s">
        <v>1256</v>
      </c>
      <c r="CH165" s="204" t="s">
        <v>1298</v>
      </c>
      <c r="CI165" s="204" t="s">
        <v>351</v>
      </c>
      <c r="CJ165" s="204" t="s">
        <v>678</v>
      </c>
      <c r="CK165" s="353">
        <v>-9999</v>
      </c>
      <c r="CM165" s="353">
        <v>-9999</v>
      </c>
      <c r="CO165" s="353">
        <v>-9999</v>
      </c>
      <c r="CS165" s="353">
        <v>-9999</v>
      </c>
      <c r="CT165" s="353">
        <v>-9999</v>
      </c>
      <c r="CV165" s="204" t="s">
        <v>1265</v>
      </c>
      <c r="CW165" s="353">
        <v>3.4283805060700001E-3</v>
      </c>
      <c r="CX165" s="204">
        <v>1447</v>
      </c>
      <c r="CY165" s="204">
        <v>0</v>
      </c>
      <c r="CZ165" s="204">
        <v>0</v>
      </c>
      <c r="DA165" s="204">
        <v>10</v>
      </c>
      <c r="DB165" s="353">
        <v>0</v>
      </c>
      <c r="DC165" s="353">
        <v>0</v>
      </c>
      <c r="DD165" s="204">
        <v>6</v>
      </c>
      <c r="DE165" s="353">
        <v>5968.4947514100004</v>
      </c>
      <c r="DF165" s="353">
        <v>57542.0660326</v>
      </c>
      <c r="DG165" s="353">
        <v>0.96529797319699995</v>
      </c>
      <c r="DH165" s="353">
        <v>5723.9255553599996</v>
      </c>
    </row>
    <row r="166" spans="1:112">
      <c r="A166" s="204">
        <v>1450</v>
      </c>
      <c r="B166" s="204">
        <v>1</v>
      </c>
      <c r="C166" s="204">
        <v>19637</v>
      </c>
      <c r="D166" s="204">
        <v>1</v>
      </c>
      <c r="E166" s="204">
        <v>1450</v>
      </c>
      <c r="F166" s="204">
        <v>0</v>
      </c>
      <c r="G166" s="204">
        <v>1450</v>
      </c>
      <c r="H166" s="204" t="s">
        <v>1147</v>
      </c>
      <c r="I166" s="354">
        <v>37462</v>
      </c>
      <c r="J166" s="204" t="s">
        <v>1147</v>
      </c>
      <c r="K166" s="204" t="s">
        <v>1531</v>
      </c>
      <c r="L166" s="204" t="s">
        <v>1247</v>
      </c>
      <c r="M166" s="204" t="s">
        <v>1148</v>
      </c>
      <c r="N166" s="353">
        <v>100</v>
      </c>
      <c r="P166" s="204" t="s">
        <v>1149</v>
      </c>
      <c r="R166" s="204" t="s">
        <v>1248</v>
      </c>
      <c r="S166" s="353">
        <v>0</v>
      </c>
      <c r="T166" s="204" t="s">
        <v>1067</v>
      </c>
      <c r="U166" s="204" t="s">
        <v>294</v>
      </c>
      <c r="W166" s="204" t="s">
        <v>295</v>
      </c>
      <c r="Z166" s="204" t="s">
        <v>369</v>
      </c>
      <c r="AA166" s="204" t="s">
        <v>370</v>
      </c>
      <c r="AB166" s="204" t="s">
        <v>1543</v>
      </c>
      <c r="AC166" s="204" t="s">
        <v>1250</v>
      </c>
      <c r="AD166" s="204" t="s">
        <v>1251</v>
      </c>
      <c r="AE166" s="353">
        <v>40644</v>
      </c>
      <c r="AF166" s="353">
        <v>86471</v>
      </c>
      <c r="AG166" s="353">
        <v>0</v>
      </c>
      <c r="AH166" s="204" t="s">
        <v>298</v>
      </c>
      <c r="AI166" s="353">
        <v>1</v>
      </c>
      <c r="AJ166" s="353">
        <v>1</v>
      </c>
      <c r="AK166" s="353">
        <v>0</v>
      </c>
      <c r="AL166" s="353">
        <v>0</v>
      </c>
      <c r="AM166" s="353">
        <v>0</v>
      </c>
      <c r="AQ166" s="353">
        <v>0</v>
      </c>
      <c r="BC166" s="353">
        <v>0</v>
      </c>
      <c r="BD166" s="353">
        <v>0</v>
      </c>
      <c r="BF166" s="353">
        <v>0</v>
      </c>
      <c r="BG166" s="204" t="s">
        <v>1248</v>
      </c>
      <c r="BH166" s="204" t="s">
        <v>1248</v>
      </c>
      <c r="BJ166" s="204" t="s">
        <v>1301</v>
      </c>
      <c r="BK166" s="353">
        <v>3079</v>
      </c>
      <c r="BL166" s="353">
        <v>2</v>
      </c>
      <c r="BM166" s="353">
        <v>4</v>
      </c>
      <c r="BN166" s="353">
        <v>0</v>
      </c>
      <c r="BO166" s="353">
        <v>4</v>
      </c>
      <c r="BP166" s="353">
        <v>0</v>
      </c>
      <c r="BQ166" s="353">
        <v>770</v>
      </c>
      <c r="BR166" s="204" t="s">
        <v>1261</v>
      </c>
      <c r="BS166" s="204" t="s">
        <v>1248</v>
      </c>
      <c r="BT166" s="353">
        <v>4</v>
      </c>
      <c r="BU166" s="353">
        <v>5000</v>
      </c>
      <c r="BV166" s="204" t="s">
        <v>1248</v>
      </c>
      <c r="BW166" s="204" t="s">
        <v>1253</v>
      </c>
      <c r="BX166" s="204" t="s">
        <v>1248</v>
      </c>
      <c r="BY166" s="204" t="s">
        <v>1248</v>
      </c>
      <c r="BZ166" s="204" t="s">
        <v>751</v>
      </c>
      <c r="CA166" s="353">
        <v>3079</v>
      </c>
      <c r="CB166" s="353">
        <v>302.39727936899999</v>
      </c>
      <c r="CC166" s="204" t="s">
        <v>517</v>
      </c>
      <c r="CD166" s="204" t="s">
        <v>300</v>
      </c>
      <c r="CE166" s="204" t="s">
        <v>301</v>
      </c>
      <c r="CF166" s="204" t="s">
        <v>1068</v>
      </c>
      <c r="CG166" s="204" t="s">
        <v>1256</v>
      </c>
      <c r="CH166" s="204" t="s">
        <v>1298</v>
      </c>
      <c r="CI166" s="204" t="s">
        <v>351</v>
      </c>
      <c r="CJ166" s="204" t="s">
        <v>678</v>
      </c>
      <c r="CK166" s="353">
        <v>-9999</v>
      </c>
      <c r="CM166" s="353">
        <v>-9999</v>
      </c>
      <c r="CO166" s="353">
        <v>-9999</v>
      </c>
      <c r="CS166" s="353">
        <v>-9999</v>
      </c>
      <c r="CT166" s="353">
        <v>-9999</v>
      </c>
      <c r="CV166" s="204" t="s">
        <v>1265</v>
      </c>
      <c r="CW166" s="353">
        <v>3.4283805060700001E-3</v>
      </c>
      <c r="CX166" s="204">
        <v>1450</v>
      </c>
      <c r="CY166" s="204">
        <v>0</v>
      </c>
      <c r="CZ166" s="204">
        <v>0</v>
      </c>
      <c r="DA166" s="204">
        <v>10</v>
      </c>
      <c r="DB166" s="353">
        <v>0</v>
      </c>
      <c r="DC166" s="353">
        <v>0</v>
      </c>
      <c r="DD166" s="204">
        <v>6</v>
      </c>
      <c r="DE166" s="353">
        <v>5968.4947514100004</v>
      </c>
      <c r="DF166" s="353">
        <v>57542.0660326</v>
      </c>
      <c r="DG166" s="353">
        <v>0.96529797319699995</v>
      </c>
      <c r="DH166" s="353">
        <v>5094.8726282199996</v>
      </c>
    </row>
    <row r="167" spans="1:112">
      <c r="A167" s="204">
        <v>1451</v>
      </c>
      <c r="B167" s="204">
        <v>1</v>
      </c>
      <c r="C167" s="204">
        <v>19638</v>
      </c>
      <c r="D167" s="204">
        <v>1</v>
      </c>
      <c r="E167" s="204">
        <v>1451</v>
      </c>
      <c r="F167" s="204">
        <v>0</v>
      </c>
      <c r="G167" s="204">
        <v>1451</v>
      </c>
      <c r="H167" s="204" t="s">
        <v>1150</v>
      </c>
      <c r="I167" s="354">
        <v>37462</v>
      </c>
      <c r="J167" s="204" t="s">
        <v>1150</v>
      </c>
      <c r="K167" s="204" t="s">
        <v>1531</v>
      </c>
      <c r="L167" s="204" t="s">
        <v>1294</v>
      </c>
      <c r="M167" s="204" t="s">
        <v>1151</v>
      </c>
      <c r="N167" s="353">
        <v>100</v>
      </c>
      <c r="P167" s="204" t="s">
        <v>1152</v>
      </c>
      <c r="R167" s="204" t="s">
        <v>1248</v>
      </c>
      <c r="S167" s="353">
        <v>0</v>
      </c>
      <c r="T167" s="204" t="s">
        <v>1067</v>
      </c>
      <c r="U167" s="204" t="s">
        <v>294</v>
      </c>
      <c r="W167" s="204" t="s">
        <v>1153</v>
      </c>
      <c r="X167" s="204" t="s">
        <v>1544</v>
      </c>
      <c r="Z167" s="204" t="s">
        <v>369</v>
      </c>
      <c r="AA167" s="204" t="s">
        <v>370</v>
      </c>
      <c r="AB167" s="204" t="s">
        <v>1543</v>
      </c>
      <c r="AC167" s="204" t="s">
        <v>1250</v>
      </c>
      <c r="AD167" s="204" t="s">
        <v>1251</v>
      </c>
      <c r="AE167" s="353">
        <v>165000</v>
      </c>
      <c r="AF167" s="353">
        <v>350000</v>
      </c>
      <c r="AG167" s="353">
        <v>0</v>
      </c>
      <c r="AH167" s="204" t="s">
        <v>298</v>
      </c>
      <c r="AI167" s="353">
        <v>1</v>
      </c>
      <c r="AJ167" s="353">
        <v>1</v>
      </c>
      <c r="AK167" s="353">
        <v>0</v>
      </c>
      <c r="AL167" s="353">
        <v>0</v>
      </c>
      <c r="AM167" s="353">
        <v>0</v>
      </c>
      <c r="AQ167" s="353">
        <v>0</v>
      </c>
      <c r="BC167" s="353">
        <v>0</v>
      </c>
      <c r="BD167" s="353">
        <v>0</v>
      </c>
      <c r="BF167" s="353">
        <v>0</v>
      </c>
      <c r="BG167" s="204" t="s">
        <v>1248</v>
      </c>
      <c r="BH167" s="204" t="s">
        <v>1248</v>
      </c>
      <c r="BJ167" s="204" t="s">
        <v>1301</v>
      </c>
      <c r="BK167" s="353">
        <v>3282</v>
      </c>
      <c r="BL167" s="353">
        <v>2</v>
      </c>
      <c r="BM167" s="353">
        <v>4</v>
      </c>
      <c r="BN167" s="353">
        <v>1</v>
      </c>
      <c r="BO167" s="353">
        <v>2</v>
      </c>
      <c r="BP167" s="353">
        <v>3</v>
      </c>
      <c r="BQ167" s="353">
        <v>821</v>
      </c>
      <c r="BR167" s="204" t="s">
        <v>1248</v>
      </c>
      <c r="BS167" s="204" t="s">
        <v>1271</v>
      </c>
      <c r="BT167" s="353">
        <v>4</v>
      </c>
      <c r="BU167" s="353">
        <v>5000</v>
      </c>
      <c r="BV167" s="204" t="s">
        <v>1248</v>
      </c>
      <c r="BW167" s="204" t="s">
        <v>1253</v>
      </c>
      <c r="BX167" s="204" t="s">
        <v>1248</v>
      </c>
      <c r="BY167" s="204" t="s">
        <v>1248</v>
      </c>
      <c r="BZ167" s="204" t="s">
        <v>751</v>
      </c>
      <c r="CA167" s="353">
        <v>3282</v>
      </c>
      <c r="CB167" s="353">
        <v>299.06753198600001</v>
      </c>
      <c r="CC167" s="204" t="s">
        <v>517</v>
      </c>
      <c r="CD167" s="204" t="s">
        <v>300</v>
      </c>
      <c r="CE167" s="204" t="s">
        <v>301</v>
      </c>
      <c r="CF167" s="204" t="s">
        <v>1068</v>
      </c>
      <c r="CG167" s="204" t="s">
        <v>1256</v>
      </c>
      <c r="CH167" s="204" t="s">
        <v>1298</v>
      </c>
      <c r="CI167" s="204" t="s">
        <v>351</v>
      </c>
      <c r="CJ167" s="204" t="s">
        <v>678</v>
      </c>
      <c r="CK167" s="353">
        <v>-9999</v>
      </c>
      <c r="CM167" s="353">
        <v>-9999</v>
      </c>
      <c r="CO167" s="353">
        <v>-9999</v>
      </c>
      <c r="CS167" s="353">
        <v>-9999</v>
      </c>
      <c r="CT167" s="353">
        <v>-9999</v>
      </c>
      <c r="CV167" s="204" t="s">
        <v>1265</v>
      </c>
      <c r="CW167" s="353">
        <v>3.4283805060700001E-3</v>
      </c>
      <c r="CX167" s="204">
        <v>1451</v>
      </c>
      <c r="CY167" s="204">
        <v>0</v>
      </c>
      <c r="CZ167" s="204">
        <v>0</v>
      </c>
      <c r="DA167" s="204">
        <v>10</v>
      </c>
      <c r="DB167" s="353">
        <v>0</v>
      </c>
      <c r="DC167" s="353">
        <v>0</v>
      </c>
      <c r="DD167" s="204">
        <v>6</v>
      </c>
      <c r="DE167" s="353">
        <v>5968.4947514100004</v>
      </c>
      <c r="DF167" s="353">
        <v>57542.0660326</v>
      </c>
      <c r="DG167" s="353">
        <v>0.96529797319699995</v>
      </c>
      <c r="DH167" s="353">
        <v>4933.6931164999996</v>
      </c>
    </row>
    <row r="168" spans="1:112">
      <c r="A168" s="204">
        <v>1452</v>
      </c>
      <c r="B168" s="204">
        <v>1</v>
      </c>
      <c r="C168" s="204">
        <v>19642</v>
      </c>
      <c r="D168" s="204">
        <v>2</v>
      </c>
      <c r="E168" s="204">
        <v>1452</v>
      </c>
      <c r="F168" s="204">
        <v>0</v>
      </c>
      <c r="G168" s="204">
        <v>1452</v>
      </c>
      <c r="H168" s="204" t="s">
        <v>1022</v>
      </c>
      <c r="I168" s="354">
        <v>37462</v>
      </c>
      <c r="J168" s="204" t="s">
        <v>1022</v>
      </c>
      <c r="K168" s="204" t="s">
        <v>1531</v>
      </c>
      <c r="L168" s="204" t="s">
        <v>1247</v>
      </c>
      <c r="M168" s="204" t="s">
        <v>1023</v>
      </c>
      <c r="N168" s="353">
        <v>100</v>
      </c>
      <c r="O168" s="204" t="s">
        <v>1545</v>
      </c>
      <c r="P168" s="204" t="s">
        <v>1024</v>
      </c>
      <c r="R168" s="204" t="s">
        <v>1248</v>
      </c>
      <c r="S168" s="353">
        <v>0</v>
      </c>
      <c r="T168" s="204" t="s">
        <v>1025</v>
      </c>
      <c r="U168" s="204" t="s">
        <v>307</v>
      </c>
      <c r="W168" s="204" t="s">
        <v>1026</v>
      </c>
      <c r="Z168" s="204" t="s">
        <v>369</v>
      </c>
      <c r="AA168" s="204" t="s">
        <v>370</v>
      </c>
      <c r="AB168" s="204" t="s">
        <v>1546</v>
      </c>
      <c r="AC168" s="204" t="s">
        <v>1259</v>
      </c>
      <c r="AD168" s="204" t="s">
        <v>1251</v>
      </c>
      <c r="AE168" s="353">
        <v>63938</v>
      </c>
      <c r="AF168" s="353">
        <v>70330</v>
      </c>
      <c r="AG168" s="353">
        <v>0</v>
      </c>
      <c r="AH168" s="204" t="s">
        <v>298</v>
      </c>
      <c r="AI168" s="353">
        <v>1</v>
      </c>
      <c r="AJ168" s="353">
        <v>1</v>
      </c>
      <c r="AK168" s="353">
        <v>0</v>
      </c>
      <c r="AL168" s="353">
        <v>0</v>
      </c>
      <c r="AM168" s="353">
        <v>0</v>
      </c>
      <c r="AQ168" s="353">
        <v>0</v>
      </c>
      <c r="BC168" s="353">
        <v>0</v>
      </c>
      <c r="BD168" s="353">
        <v>0</v>
      </c>
      <c r="BF168" s="353">
        <v>0</v>
      </c>
      <c r="BG168" s="204" t="s">
        <v>1248</v>
      </c>
      <c r="BH168" s="204" t="s">
        <v>1248</v>
      </c>
      <c r="BJ168" s="204" t="s">
        <v>1270</v>
      </c>
      <c r="BK168" s="353">
        <v>4096</v>
      </c>
      <c r="BL168" s="353">
        <v>2</v>
      </c>
      <c r="BM168" s="353">
        <v>6</v>
      </c>
      <c r="BN168" s="353">
        <v>6</v>
      </c>
      <c r="BO168" s="353">
        <v>0</v>
      </c>
      <c r="BP168" s="353">
        <v>0</v>
      </c>
      <c r="BQ168" s="353">
        <v>683</v>
      </c>
      <c r="BR168" s="204" t="s">
        <v>1248</v>
      </c>
      <c r="BS168" s="204" t="s">
        <v>1271</v>
      </c>
      <c r="BT168" s="353">
        <v>6</v>
      </c>
      <c r="BU168" s="353">
        <v>8400</v>
      </c>
      <c r="BV168" s="204" t="s">
        <v>1248</v>
      </c>
      <c r="BW168" s="204" t="s">
        <v>1253</v>
      </c>
      <c r="BX168" s="204" t="s">
        <v>1248</v>
      </c>
      <c r="BY168" s="204" t="s">
        <v>1248</v>
      </c>
      <c r="BZ168" s="204" t="s">
        <v>751</v>
      </c>
      <c r="CA168" s="353">
        <v>4096</v>
      </c>
      <c r="CB168" s="353">
        <v>376.86046632300003</v>
      </c>
      <c r="CC168" s="204" t="s">
        <v>299</v>
      </c>
      <c r="CD168" s="204" t="s">
        <v>300</v>
      </c>
      <c r="CE168" s="204" t="s">
        <v>301</v>
      </c>
      <c r="CF168" s="204" t="s">
        <v>1068</v>
      </c>
      <c r="CG168" s="204" t="s">
        <v>1256</v>
      </c>
      <c r="CH168" s="204" t="s">
        <v>1298</v>
      </c>
      <c r="CI168" s="204" t="s">
        <v>351</v>
      </c>
      <c r="CJ168" s="204" t="s">
        <v>678</v>
      </c>
      <c r="CK168" s="353">
        <v>-9999</v>
      </c>
      <c r="CM168" s="353">
        <v>-9999</v>
      </c>
      <c r="CO168" s="353">
        <v>-9999</v>
      </c>
      <c r="CS168" s="353">
        <v>-9999</v>
      </c>
      <c r="CT168" s="353">
        <v>-9999</v>
      </c>
      <c r="CV168" s="204" t="s">
        <v>1265</v>
      </c>
      <c r="CW168" s="353">
        <v>3.4283805060700001E-3</v>
      </c>
      <c r="CX168" s="204">
        <v>1452</v>
      </c>
      <c r="CY168" s="204">
        <v>0</v>
      </c>
      <c r="CZ168" s="204">
        <v>0</v>
      </c>
      <c r="DA168" s="204">
        <v>10</v>
      </c>
      <c r="DB168" s="353">
        <v>0</v>
      </c>
      <c r="DC168" s="353">
        <v>0</v>
      </c>
      <c r="DD168" s="204">
        <v>5</v>
      </c>
      <c r="DE168" s="353">
        <v>2343.1665211300001</v>
      </c>
      <c r="DF168" s="353">
        <v>14829.867717499999</v>
      </c>
      <c r="DG168" s="353">
        <v>0.96529797319699995</v>
      </c>
      <c r="DH168" s="353">
        <v>8519.1834401399992</v>
      </c>
    </row>
    <row r="169" spans="1:112">
      <c r="A169" s="204">
        <v>1453</v>
      </c>
      <c r="B169" s="204">
        <v>1</v>
      </c>
      <c r="C169" s="204">
        <v>19647</v>
      </c>
      <c r="D169" s="204">
        <v>2</v>
      </c>
      <c r="E169" s="204">
        <v>1453</v>
      </c>
      <c r="F169" s="204">
        <v>0</v>
      </c>
      <c r="G169" s="204">
        <v>1453</v>
      </c>
      <c r="H169" s="204" t="s">
        <v>1154</v>
      </c>
      <c r="I169" s="354">
        <v>37462</v>
      </c>
      <c r="J169" s="204" t="s">
        <v>1154</v>
      </c>
      <c r="K169" s="204" t="s">
        <v>1531</v>
      </c>
      <c r="L169" s="204" t="s">
        <v>1294</v>
      </c>
      <c r="M169" s="204" t="s">
        <v>1155</v>
      </c>
      <c r="N169" s="353">
        <v>100</v>
      </c>
      <c r="P169" s="204" t="s">
        <v>1156</v>
      </c>
      <c r="R169" s="204" t="s">
        <v>1248</v>
      </c>
      <c r="S169" s="353">
        <v>0</v>
      </c>
      <c r="T169" s="204" t="s">
        <v>1067</v>
      </c>
      <c r="U169" s="204" t="s">
        <v>294</v>
      </c>
      <c r="W169" s="204" t="s">
        <v>1157</v>
      </c>
      <c r="X169" s="204" t="s">
        <v>1547</v>
      </c>
      <c r="Z169" s="204" t="s">
        <v>369</v>
      </c>
      <c r="AA169" s="204" t="s">
        <v>370</v>
      </c>
      <c r="AB169" s="204" t="s">
        <v>1548</v>
      </c>
      <c r="AC169" s="204" t="s">
        <v>1250</v>
      </c>
      <c r="AD169" s="204" t="s">
        <v>1251</v>
      </c>
      <c r="AE169" s="353">
        <v>31353</v>
      </c>
      <c r="AF169" s="353">
        <v>229927</v>
      </c>
      <c r="AG169" s="353">
        <v>0</v>
      </c>
      <c r="AH169" s="204" t="s">
        <v>298</v>
      </c>
      <c r="AI169" s="353">
        <v>1</v>
      </c>
      <c r="AJ169" s="353">
        <v>1</v>
      </c>
      <c r="AK169" s="353">
        <v>0</v>
      </c>
      <c r="AL169" s="353">
        <v>0</v>
      </c>
      <c r="AM169" s="353">
        <v>0</v>
      </c>
      <c r="AQ169" s="353">
        <v>0</v>
      </c>
      <c r="BC169" s="353">
        <v>0</v>
      </c>
      <c r="BD169" s="353">
        <v>0</v>
      </c>
      <c r="BF169" s="353">
        <v>0</v>
      </c>
      <c r="BG169" s="204" t="s">
        <v>1248</v>
      </c>
      <c r="BH169" s="204" t="s">
        <v>1248</v>
      </c>
      <c r="BJ169" s="204" t="s">
        <v>1301</v>
      </c>
      <c r="BK169" s="353">
        <v>3282</v>
      </c>
      <c r="BL169" s="353">
        <v>2</v>
      </c>
      <c r="BM169" s="353">
        <v>4</v>
      </c>
      <c r="BN169" s="353">
        <v>1</v>
      </c>
      <c r="BO169" s="353">
        <v>0</v>
      </c>
      <c r="BP169" s="353">
        <v>3</v>
      </c>
      <c r="BQ169" s="353">
        <v>820</v>
      </c>
      <c r="BR169" s="204" t="s">
        <v>1248</v>
      </c>
      <c r="BS169" s="204" t="s">
        <v>1271</v>
      </c>
      <c r="BT169" s="353">
        <v>4</v>
      </c>
      <c r="BU169" s="353">
        <v>5000</v>
      </c>
      <c r="BV169" s="204" t="s">
        <v>1248</v>
      </c>
      <c r="BW169" s="204" t="s">
        <v>1253</v>
      </c>
      <c r="BX169" s="204" t="s">
        <v>1248</v>
      </c>
      <c r="BY169" s="204" t="s">
        <v>1248</v>
      </c>
      <c r="BZ169" s="204" t="s">
        <v>751</v>
      </c>
      <c r="CA169" s="353">
        <v>3282</v>
      </c>
      <c r="CB169" s="353">
        <v>301.09032402700001</v>
      </c>
      <c r="CC169" s="204" t="s">
        <v>517</v>
      </c>
      <c r="CD169" s="204" t="s">
        <v>300</v>
      </c>
      <c r="CE169" s="204" t="s">
        <v>301</v>
      </c>
      <c r="CF169" s="204" t="s">
        <v>1068</v>
      </c>
      <c r="CG169" s="204" t="s">
        <v>1256</v>
      </c>
      <c r="CH169" s="204" t="s">
        <v>1298</v>
      </c>
      <c r="CI169" s="204" t="s">
        <v>351</v>
      </c>
      <c r="CJ169" s="204" t="s">
        <v>678</v>
      </c>
      <c r="CK169" s="353">
        <v>-9999</v>
      </c>
      <c r="CM169" s="353">
        <v>-9999</v>
      </c>
      <c r="CO169" s="353">
        <v>-9999</v>
      </c>
      <c r="CS169" s="353">
        <v>-9999</v>
      </c>
      <c r="CT169" s="353">
        <v>-9999</v>
      </c>
      <c r="CV169" s="204" t="s">
        <v>1265</v>
      </c>
      <c r="CW169" s="353">
        <v>3.4283805060700001E-3</v>
      </c>
      <c r="CX169" s="204">
        <v>1453</v>
      </c>
      <c r="CY169" s="204">
        <v>0</v>
      </c>
      <c r="CZ169" s="204">
        <v>0</v>
      </c>
      <c r="DA169" s="204">
        <v>10</v>
      </c>
      <c r="DB169" s="353">
        <v>0</v>
      </c>
      <c r="DC169" s="353">
        <v>0</v>
      </c>
      <c r="DD169" s="204">
        <v>6</v>
      </c>
      <c r="DE169" s="353">
        <v>51.610996289900001</v>
      </c>
      <c r="DF169" s="353">
        <v>98.733393437800004</v>
      </c>
      <c r="DG169" s="353">
        <v>0.96529797319699995</v>
      </c>
      <c r="DH169" s="353">
        <v>5071.5174329700003</v>
      </c>
    </row>
    <row r="170" spans="1:112">
      <c r="A170" s="204">
        <v>1454</v>
      </c>
      <c r="B170" s="204">
        <v>1</v>
      </c>
      <c r="C170" s="204">
        <v>19649</v>
      </c>
      <c r="D170" s="204">
        <v>1</v>
      </c>
      <c r="E170" s="204">
        <v>1454</v>
      </c>
      <c r="F170" s="204">
        <v>0</v>
      </c>
      <c r="G170" s="204">
        <v>1454</v>
      </c>
      <c r="H170" s="204" t="s">
        <v>1158</v>
      </c>
      <c r="I170" s="354">
        <v>37462</v>
      </c>
      <c r="J170" s="204" t="s">
        <v>1158</v>
      </c>
      <c r="K170" s="204" t="s">
        <v>1531</v>
      </c>
      <c r="L170" s="204" t="s">
        <v>1294</v>
      </c>
      <c r="M170" s="204" t="s">
        <v>700</v>
      </c>
      <c r="N170" s="353">
        <v>100</v>
      </c>
      <c r="P170" s="204" t="s">
        <v>1159</v>
      </c>
      <c r="R170" s="204" t="s">
        <v>1248</v>
      </c>
      <c r="S170" s="353">
        <v>0</v>
      </c>
      <c r="T170" s="204" t="s">
        <v>1062</v>
      </c>
      <c r="U170" s="204" t="s">
        <v>307</v>
      </c>
      <c r="W170" s="204" t="s">
        <v>1160</v>
      </c>
      <c r="Z170" s="204" t="s">
        <v>369</v>
      </c>
      <c r="AA170" s="204" t="s">
        <v>370</v>
      </c>
      <c r="AB170" s="204" t="s">
        <v>1549</v>
      </c>
      <c r="AC170" s="204" t="s">
        <v>1250</v>
      </c>
      <c r="AD170" s="204" t="s">
        <v>1251</v>
      </c>
      <c r="AE170" s="353">
        <v>35862</v>
      </c>
      <c r="AF170" s="353">
        <v>174187</v>
      </c>
      <c r="AG170" s="353">
        <v>0</v>
      </c>
      <c r="AH170" s="204" t="s">
        <v>298</v>
      </c>
      <c r="AI170" s="353">
        <v>1</v>
      </c>
      <c r="AJ170" s="353">
        <v>1</v>
      </c>
      <c r="AK170" s="353">
        <v>0</v>
      </c>
      <c r="AL170" s="353">
        <v>0</v>
      </c>
      <c r="AM170" s="353">
        <v>0</v>
      </c>
      <c r="AQ170" s="353">
        <v>0</v>
      </c>
      <c r="BC170" s="353">
        <v>0</v>
      </c>
      <c r="BD170" s="353">
        <v>0</v>
      </c>
      <c r="BF170" s="353">
        <v>0</v>
      </c>
      <c r="BG170" s="204" t="s">
        <v>1248</v>
      </c>
      <c r="BH170" s="204" t="s">
        <v>1248</v>
      </c>
      <c r="BJ170" s="204" t="s">
        <v>1301</v>
      </c>
      <c r="BK170" s="353">
        <v>3004</v>
      </c>
      <c r="BL170" s="353">
        <v>2</v>
      </c>
      <c r="BM170" s="353">
        <v>4</v>
      </c>
      <c r="BN170" s="353">
        <v>0</v>
      </c>
      <c r="BO170" s="353">
        <v>4</v>
      </c>
      <c r="BP170" s="353">
        <v>0</v>
      </c>
      <c r="BQ170" s="353">
        <v>751</v>
      </c>
      <c r="BR170" s="204" t="s">
        <v>1248</v>
      </c>
      <c r="BS170" s="204" t="s">
        <v>1271</v>
      </c>
      <c r="BT170" s="353">
        <v>4</v>
      </c>
      <c r="BU170" s="353">
        <v>5625</v>
      </c>
      <c r="BV170" s="204" t="s">
        <v>1248</v>
      </c>
      <c r="BW170" s="204" t="s">
        <v>1253</v>
      </c>
      <c r="BX170" s="204" t="s">
        <v>1248</v>
      </c>
      <c r="BY170" s="204" t="s">
        <v>1248</v>
      </c>
      <c r="BZ170" s="204" t="s">
        <v>771</v>
      </c>
      <c r="CA170" s="353">
        <v>3004</v>
      </c>
      <c r="CB170" s="353">
        <v>327.91962502600001</v>
      </c>
      <c r="CC170" s="204" t="s">
        <v>517</v>
      </c>
      <c r="CD170" s="204" t="s">
        <v>300</v>
      </c>
      <c r="CE170" s="204" t="s">
        <v>301</v>
      </c>
      <c r="CF170" s="204" t="s">
        <v>1068</v>
      </c>
      <c r="CG170" s="204" t="s">
        <v>1256</v>
      </c>
      <c r="CH170" s="204" t="s">
        <v>1298</v>
      </c>
      <c r="CI170" s="204" t="s">
        <v>351</v>
      </c>
      <c r="CJ170" s="204" t="s">
        <v>678</v>
      </c>
      <c r="CK170" s="353">
        <v>-9999</v>
      </c>
      <c r="CM170" s="353">
        <v>-9999</v>
      </c>
      <c r="CO170" s="353">
        <v>-9999</v>
      </c>
      <c r="CS170" s="353">
        <v>-9999</v>
      </c>
      <c r="CT170" s="353">
        <v>-9999</v>
      </c>
      <c r="CV170" s="204" t="s">
        <v>1265</v>
      </c>
      <c r="CW170" s="353">
        <v>3.4283805060700001E-3</v>
      </c>
      <c r="CX170" s="204">
        <v>1454</v>
      </c>
      <c r="CY170" s="204">
        <v>0</v>
      </c>
      <c r="CZ170" s="204">
        <v>0</v>
      </c>
      <c r="DA170" s="204">
        <v>10</v>
      </c>
      <c r="DB170" s="353">
        <v>0</v>
      </c>
      <c r="DC170" s="353">
        <v>0</v>
      </c>
      <c r="DD170" s="204">
        <v>6</v>
      </c>
      <c r="DE170" s="353">
        <v>5968.4947514100004</v>
      </c>
      <c r="DF170" s="353">
        <v>57542.0660326</v>
      </c>
      <c r="DG170" s="353">
        <v>0.96529797319699995</v>
      </c>
      <c r="DH170" s="353">
        <v>5726.5269263600003</v>
      </c>
    </row>
    <row r="171" spans="1:112">
      <c r="A171" s="204">
        <v>1455</v>
      </c>
      <c r="B171" s="204">
        <v>1</v>
      </c>
      <c r="C171" s="204">
        <v>19653</v>
      </c>
      <c r="D171" s="204">
        <v>1</v>
      </c>
      <c r="E171" s="204">
        <v>1455</v>
      </c>
      <c r="F171" s="204">
        <v>0</v>
      </c>
      <c r="G171" s="204">
        <v>1455</v>
      </c>
      <c r="H171" s="204" t="s">
        <v>1161</v>
      </c>
      <c r="I171" s="354">
        <v>37462</v>
      </c>
      <c r="J171" s="204" t="s">
        <v>1161</v>
      </c>
      <c r="K171" s="204" t="s">
        <v>1531</v>
      </c>
      <c r="L171" s="204" t="s">
        <v>1294</v>
      </c>
      <c r="M171" s="204" t="s">
        <v>1162</v>
      </c>
      <c r="N171" s="353">
        <v>100</v>
      </c>
      <c r="P171" s="204" t="s">
        <v>1163</v>
      </c>
      <c r="R171" s="204" t="s">
        <v>1248</v>
      </c>
      <c r="S171" s="353">
        <v>0</v>
      </c>
      <c r="T171" s="204" t="s">
        <v>1067</v>
      </c>
      <c r="U171" s="204" t="s">
        <v>294</v>
      </c>
      <c r="W171" s="204" t="s">
        <v>1164</v>
      </c>
      <c r="Z171" s="204" t="s">
        <v>369</v>
      </c>
      <c r="AA171" s="204" t="s">
        <v>370</v>
      </c>
      <c r="AB171" s="204" t="s">
        <v>1550</v>
      </c>
      <c r="AC171" s="204" t="s">
        <v>1250</v>
      </c>
      <c r="AD171" s="204" t="s">
        <v>1251</v>
      </c>
      <c r="AE171" s="353">
        <v>21059</v>
      </c>
      <c r="AF171" s="353">
        <v>94767</v>
      </c>
      <c r="AG171" s="353">
        <v>0</v>
      </c>
      <c r="AH171" s="204" t="s">
        <v>298</v>
      </c>
      <c r="AI171" s="353">
        <v>1</v>
      </c>
      <c r="AJ171" s="353">
        <v>1</v>
      </c>
      <c r="AK171" s="353">
        <v>0</v>
      </c>
      <c r="AL171" s="353">
        <v>0</v>
      </c>
      <c r="AM171" s="353">
        <v>0</v>
      </c>
      <c r="AQ171" s="353">
        <v>0</v>
      </c>
      <c r="BC171" s="353">
        <v>0</v>
      </c>
      <c r="BD171" s="353">
        <v>0</v>
      </c>
      <c r="BF171" s="353">
        <v>0</v>
      </c>
      <c r="BG171" s="204" t="s">
        <v>1248</v>
      </c>
      <c r="BH171" s="204" t="s">
        <v>1248</v>
      </c>
      <c r="BJ171" s="204" t="s">
        <v>1301</v>
      </c>
      <c r="BK171" s="353">
        <v>3282</v>
      </c>
      <c r="BL171" s="353">
        <v>2</v>
      </c>
      <c r="BM171" s="353">
        <v>4</v>
      </c>
      <c r="BN171" s="353">
        <v>1</v>
      </c>
      <c r="BO171" s="353">
        <v>0</v>
      </c>
      <c r="BP171" s="353">
        <v>3</v>
      </c>
      <c r="BQ171" s="353">
        <v>821</v>
      </c>
      <c r="BR171" s="204" t="s">
        <v>1248</v>
      </c>
      <c r="BS171" s="204" t="s">
        <v>1271</v>
      </c>
      <c r="BT171" s="353">
        <v>4</v>
      </c>
      <c r="BU171" s="353">
        <v>5000</v>
      </c>
      <c r="BV171" s="204" t="s">
        <v>1248</v>
      </c>
      <c r="BW171" s="204" t="s">
        <v>1253</v>
      </c>
      <c r="BX171" s="204" t="s">
        <v>1248</v>
      </c>
      <c r="BY171" s="204" t="s">
        <v>1248</v>
      </c>
      <c r="BZ171" s="204" t="s">
        <v>1254</v>
      </c>
      <c r="CA171" s="353">
        <v>3282</v>
      </c>
      <c r="CB171" s="353">
        <v>296.28161453000001</v>
      </c>
      <c r="CC171" s="204" t="s">
        <v>517</v>
      </c>
      <c r="CD171" s="204" t="s">
        <v>300</v>
      </c>
      <c r="CE171" s="204" t="s">
        <v>301</v>
      </c>
      <c r="CF171" s="204" t="s">
        <v>1068</v>
      </c>
      <c r="CG171" s="204" t="s">
        <v>1256</v>
      </c>
      <c r="CH171" s="204" t="s">
        <v>1298</v>
      </c>
      <c r="CI171" s="204" t="s">
        <v>351</v>
      </c>
      <c r="CJ171" s="204" t="s">
        <v>678</v>
      </c>
      <c r="CK171" s="353">
        <v>-9999</v>
      </c>
      <c r="CM171" s="353">
        <v>-9999</v>
      </c>
      <c r="CO171" s="353">
        <v>-9999</v>
      </c>
      <c r="CS171" s="353">
        <v>-9999</v>
      </c>
      <c r="CT171" s="353">
        <v>-9999</v>
      </c>
      <c r="CV171" s="204" t="s">
        <v>1265</v>
      </c>
      <c r="CW171" s="353">
        <v>3.4283805060700001E-3</v>
      </c>
      <c r="CX171" s="204">
        <v>1455</v>
      </c>
      <c r="CY171" s="204">
        <v>0</v>
      </c>
      <c r="CZ171" s="204">
        <v>0</v>
      </c>
      <c r="DA171" s="204">
        <v>10</v>
      </c>
      <c r="DB171" s="353">
        <v>0</v>
      </c>
      <c r="DC171" s="353">
        <v>0</v>
      </c>
      <c r="DD171" s="204">
        <v>6</v>
      </c>
      <c r="DE171" s="353">
        <v>5968.4947514100004</v>
      </c>
      <c r="DF171" s="353">
        <v>57542.0660326</v>
      </c>
      <c r="DG171" s="353">
        <v>0.96529797319699995</v>
      </c>
      <c r="DH171" s="353">
        <v>4837.5315408699998</v>
      </c>
    </row>
    <row r="172" spans="1:112">
      <c r="A172" s="204">
        <v>1456</v>
      </c>
      <c r="B172" s="204">
        <v>1</v>
      </c>
      <c r="C172" s="204">
        <v>19654</v>
      </c>
      <c r="D172" s="204">
        <v>1</v>
      </c>
      <c r="E172" s="204">
        <v>1456</v>
      </c>
      <c r="F172" s="204">
        <v>0</v>
      </c>
      <c r="G172" s="204">
        <v>1456</v>
      </c>
      <c r="H172" s="204" t="s">
        <v>1165</v>
      </c>
      <c r="I172" s="354">
        <v>37462</v>
      </c>
      <c r="J172" s="204" t="s">
        <v>1165</v>
      </c>
      <c r="K172" s="204" t="s">
        <v>1531</v>
      </c>
      <c r="L172" s="204" t="s">
        <v>1294</v>
      </c>
      <c r="M172" s="204" t="s">
        <v>1162</v>
      </c>
      <c r="N172" s="353">
        <v>100</v>
      </c>
      <c r="P172" s="204" t="s">
        <v>1166</v>
      </c>
      <c r="R172" s="204" t="s">
        <v>1248</v>
      </c>
      <c r="S172" s="353">
        <v>0</v>
      </c>
      <c r="T172" s="204" t="s">
        <v>1067</v>
      </c>
      <c r="U172" s="204" t="s">
        <v>294</v>
      </c>
      <c r="W172" s="204" t="s">
        <v>1167</v>
      </c>
      <c r="Z172" s="204" t="s">
        <v>369</v>
      </c>
      <c r="AA172" s="204" t="s">
        <v>370</v>
      </c>
      <c r="AB172" s="204" t="s">
        <v>1551</v>
      </c>
      <c r="AC172" s="204" t="s">
        <v>1250</v>
      </c>
      <c r="AD172" s="204" t="s">
        <v>1251</v>
      </c>
      <c r="AE172" s="353">
        <v>29411</v>
      </c>
      <c r="AF172" s="353">
        <v>70381</v>
      </c>
      <c r="AG172" s="353">
        <v>0</v>
      </c>
      <c r="AH172" s="204" t="s">
        <v>298</v>
      </c>
      <c r="AI172" s="353">
        <v>1</v>
      </c>
      <c r="AJ172" s="353">
        <v>1</v>
      </c>
      <c r="AK172" s="353">
        <v>0</v>
      </c>
      <c r="AL172" s="353">
        <v>0</v>
      </c>
      <c r="AM172" s="353">
        <v>0</v>
      </c>
      <c r="AQ172" s="353">
        <v>0</v>
      </c>
      <c r="BC172" s="353">
        <v>0</v>
      </c>
      <c r="BD172" s="353">
        <v>0</v>
      </c>
      <c r="BF172" s="353">
        <v>0</v>
      </c>
      <c r="BG172" s="204" t="s">
        <v>1248</v>
      </c>
      <c r="BH172" s="204" t="s">
        <v>1248</v>
      </c>
      <c r="BJ172" s="204" t="s">
        <v>1301</v>
      </c>
      <c r="BK172" s="353">
        <v>3282</v>
      </c>
      <c r="BL172" s="353">
        <v>2</v>
      </c>
      <c r="BM172" s="353">
        <v>4</v>
      </c>
      <c r="BN172" s="353">
        <v>0</v>
      </c>
      <c r="BO172" s="353">
        <v>1</v>
      </c>
      <c r="BP172" s="353">
        <v>3</v>
      </c>
      <c r="BQ172" s="353">
        <v>821</v>
      </c>
      <c r="BR172" s="204" t="s">
        <v>1248</v>
      </c>
      <c r="BS172" s="204" t="s">
        <v>1271</v>
      </c>
      <c r="BT172" s="353">
        <v>4</v>
      </c>
      <c r="BU172" s="353">
        <v>5000</v>
      </c>
      <c r="BV172" s="204" t="s">
        <v>1248</v>
      </c>
      <c r="BW172" s="204" t="s">
        <v>1253</v>
      </c>
      <c r="BX172" s="204" t="s">
        <v>1248</v>
      </c>
      <c r="BY172" s="204" t="s">
        <v>1248</v>
      </c>
      <c r="BZ172" s="204" t="s">
        <v>751</v>
      </c>
      <c r="CA172" s="353">
        <v>3282</v>
      </c>
      <c r="CB172" s="353">
        <v>301.20546669700002</v>
      </c>
      <c r="CC172" s="204" t="s">
        <v>517</v>
      </c>
      <c r="CD172" s="204" t="s">
        <v>300</v>
      </c>
      <c r="CE172" s="204" t="s">
        <v>301</v>
      </c>
      <c r="CF172" s="204" t="s">
        <v>1068</v>
      </c>
      <c r="CG172" s="204" t="s">
        <v>1256</v>
      </c>
      <c r="CH172" s="204" t="s">
        <v>1298</v>
      </c>
      <c r="CI172" s="204" t="s">
        <v>351</v>
      </c>
      <c r="CJ172" s="204" t="s">
        <v>678</v>
      </c>
      <c r="CK172" s="353">
        <v>-9999</v>
      </c>
      <c r="CM172" s="353">
        <v>-9999</v>
      </c>
      <c r="CO172" s="353">
        <v>-9999</v>
      </c>
      <c r="CS172" s="353">
        <v>-9999</v>
      </c>
      <c r="CT172" s="353">
        <v>-9999</v>
      </c>
      <c r="CV172" s="204" t="s">
        <v>1265</v>
      </c>
      <c r="CW172" s="353">
        <v>3.4283805060700001E-3</v>
      </c>
      <c r="CX172" s="204">
        <v>1456</v>
      </c>
      <c r="CY172" s="204">
        <v>0</v>
      </c>
      <c r="CZ172" s="204">
        <v>0</v>
      </c>
      <c r="DA172" s="204">
        <v>10</v>
      </c>
      <c r="DB172" s="353">
        <v>0</v>
      </c>
      <c r="DC172" s="353">
        <v>0</v>
      </c>
      <c r="DD172" s="204">
        <v>6</v>
      </c>
      <c r="DE172" s="353">
        <v>5968.4947514100004</v>
      </c>
      <c r="DF172" s="353">
        <v>57542.0660326</v>
      </c>
      <c r="DG172" s="353">
        <v>0.96529797319699995</v>
      </c>
      <c r="DH172" s="353">
        <v>5087.9149649700003</v>
      </c>
    </row>
    <row r="173" spans="1:112">
      <c r="A173" s="204">
        <v>1461</v>
      </c>
      <c r="B173" s="204">
        <v>1</v>
      </c>
      <c r="C173" s="204">
        <v>19699</v>
      </c>
      <c r="D173" s="204">
        <v>1</v>
      </c>
      <c r="E173" s="204">
        <v>1461</v>
      </c>
      <c r="F173" s="204">
        <v>0</v>
      </c>
      <c r="G173" s="204">
        <v>1461</v>
      </c>
      <c r="H173" s="204" t="s">
        <v>1129</v>
      </c>
      <c r="I173" s="354">
        <v>37462</v>
      </c>
      <c r="J173" s="204" t="s">
        <v>1129</v>
      </c>
      <c r="K173" s="204" t="s">
        <v>1531</v>
      </c>
      <c r="L173" s="204" t="s">
        <v>1294</v>
      </c>
      <c r="M173" s="204" t="s">
        <v>1130</v>
      </c>
      <c r="N173" s="353">
        <v>100</v>
      </c>
      <c r="P173" s="204" t="s">
        <v>1131</v>
      </c>
      <c r="R173" s="204" t="s">
        <v>1248</v>
      </c>
      <c r="S173" s="353">
        <v>0</v>
      </c>
      <c r="T173" s="204" t="s">
        <v>1132</v>
      </c>
      <c r="U173" s="204" t="s">
        <v>307</v>
      </c>
      <c r="W173" s="204" t="s">
        <v>1133</v>
      </c>
      <c r="Z173" s="204" t="s">
        <v>369</v>
      </c>
      <c r="AA173" s="204" t="s">
        <v>370</v>
      </c>
      <c r="AB173" s="204" t="s">
        <v>1552</v>
      </c>
      <c r="AC173" s="204" t="s">
        <v>1278</v>
      </c>
      <c r="AD173" s="204" t="s">
        <v>384</v>
      </c>
      <c r="AE173" s="353">
        <v>51231</v>
      </c>
      <c r="AF173" s="353">
        <v>34325</v>
      </c>
      <c r="AG173" s="353">
        <v>0</v>
      </c>
      <c r="AH173" s="204" t="s">
        <v>423</v>
      </c>
      <c r="AI173" s="353">
        <v>1</v>
      </c>
      <c r="AJ173" s="353">
        <v>1</v>
      </c>
      <c r="AK173" s="353">
        <v>2</v>
      </c>
      <c r="AL173" s="353">
        <v>2</v>
      </c>
      <c r="AM173" s="353">
        <v>6</v>
      </c>
      <c r="AN173" s="204" t="s">
        <v>186</v>
      </c>
      <c r="AO173" s="204" t="s">
        <v>1248</v>
      </c>
      <c r="AP173" s="204" t="s">
        <v>1271</v>
      </c>
      <c r="AQ173" s="353">
        <v>2</v>
      </c>
      <c r="AR173" s="204" t="s">
        <v>1248</v>
      </c>
      <c r="AS173" s="204" t="s">
        <v>1248</v>
      </c>
      <c r="AT173" s="204" t="s">
        <v>1248</v>
      </c>
      <c r="AU173" s="204" t="s">
        <v>1248</v>
      </c>
      <c r="AV173" s="204" t="s">
        <v>1134</v>
      </c>
      <c r="AW173" s="204" t="s">
        <v>1248</v>
      </c>
      <c r="AX173" s="204" t="s">
        <v>1253</v>
      </c>
      <c r="AZ173" s="204" t="s">
        <v>1248</v>
      </c>
      <c r="BB173" s="204" t="s">
        <v>1134</v>
      </c>
      <c r="BC173" s="353">
        <v>5000</v>
      </c>
      <c r="BD173" s="353">
        <v>1150</v>
      </c>
      <c r="BE173" s="204" t="s">
        <v>723</v>
      </c>
      <c r="BF173" s="353">
        <v>0</v>
      </c>
      <c r="BG173" s="204" t="s">
        <v>1248</v>
      </c>
      <c r="BH173" s="204" t="s">
        <v>1248</v>
      </c>
      <c r="BI173" s="204" t="s">
        <v>723</v>
      </c>
      <c r="BK173" s="353">
        <v>0</v>
      </c>
      <c r="BL173" s="353">
        <v>0</v>
      </c>
      <c r="BM173" s="353">
        <v>0</v>
      </c>
      <c r="BN173" s="353">
        <v>0</v>
      </c>
      <c r="BO173" s="353">
        <v>0</v>
      </c>
      <c r="BP173" s="353">
        <v>0</v>
      </c>
      <c r="BQ173" s="353">
        <v>0</v>
      </c>
      <c r="BT173" s="353">
        <v>0</v>
      </c>
      <c r="BU173" s="353">
        <v>0</v>
      </c>
      <c r="CA173" s="353">
        <v>0</v>
      </c>
      <c r="CB173" s="353">
        <v>297.46586307000001</v>
      </c>
      <c r="CC173" s="204" t="s">
        <v>425</v>
      </c>
      <c r="CD173" s="204" t="s">
        <v>300</v>
      </c>
      <c r="CE173" s="204" t="s">
        <v>301</v>
      </c>
      <c r="CF173" s="204" t="s">
        <v>1068</v>
      </c>
      <c r="CG173" s="204" t="s">
        <v>1256</v>
      </c>
      <c r="CH173" s="204" t="s">
        <v>1298</v>
      </c>
      <c r="CI173" s="204" t="s">
        <v>351</v>
      </c>
      <c r="CJ173" s="204" t="s">
        <v>678</v>
      </c>
      <c r="CK173" s="353">
        <v>-9999</v>
      </c>
      <c r="CM173" s="353">
        <v>-9999</v>
      </c>
      <c r="CO173" s="353">
        <v>-9999</v>
      </c>
      <c r="CS173" s="353">
        <v>-9999</v>
      </c>
      <c r="CT173" s="353">
        <v>-9999</v>
      </c>
      <c r="CV173" s="204" t="s">
        <v>1265</v>
      </c>
      <c r="CW173" s="353">
        <v>3.4283805060700001E-3</v>
      </c>
      <c r="CX173" s="204">
        <v>1461</v>
      </c>
      <c r="CY173" s="204">
        <v>0</v>
      </c>
      <c r="CZ173" s="204">
        <v>0</v>
      </c>
      <c r="DA173" s="204">
        <v>10</v>
      </c>
      <c r="DB173" s="353">
        <v>0</v>
      </c>
      <c r="DC173" s="353">
        <v>0</v>
      </c>
      <c r="DD173" s="204">
        <v>6</v>
      </c>
      <c r="DE173" s="353">
        <v>5968.4947514100004</v>
      </c>
      <c r="DF173" s="353">
        <v>57542.0660326</v>
      </c>
      <c r="DG173" s="353">
        <v>0.96529797319699995</v>
      </c>
      <c r="DH173" s="353">
        <v>4901.2765126900003</v>
      </c>
    </row>
    <row r="174" spans="1:112">
      <c r="A174" s="204">
        <v>1503</v>
      </c>
      <c r="B174" s="204">
        <v>1</v>
      </c>
      <c r="C174" s="204">
        <v>20051</v>
      </c>
      <c r="D174" s="204">
        <v>2</v>
      </c>
      <c r="E174" s="204">
        <v>1503</v>
      </c>
      <c r="F174" s="204">
        <v>0</v>
      </c>
      <c r="G174" s="204">
        <v>1503</v>
      </c>
      <c r="H174" s="204" t="s">
        <v>1031</v>
      </c>
      <c r="I174" s="354">
        <v>38868</v>
      </c>
      <c r="J174" s="204" t="s">
        <v>1031</v>
      </c>
      <c r="K174" s="204" t="s">
        <v>1553</v>
      </c>
      <c r="L174" s="204" t="s">
        <v>1266</v>
      </c>
      <c r="M174" s="204" t="s">
        <v>1032</v>
      </c>
      <c r="N174" s="353">
        <v>100</v>
      </c>
      <c r="O174" s="204" t="s">
        <v>1554</v>
      </c>
      <c r="P174" s="204" t="s">
        <v>1033</v>
      </c>
      <c r="R174" s="204" t="s">
        <v>1248</v>
      </c>
      <c r="S174" s="353">
        <v>0</v>
      </c>
      <c r="T174" s="204" t="s">
        <v>1034</v>
      </c>
      <c r="U174" s="204" t="s">
        <v>569</v>
      </c>
      <c r="Z174" s="204" t="s">
        <v>369</v>
      </c>
      <c r="AA174" s="204" t="s">
        <v>704</v>
      </c>
      <c r="AB174" s="204" t="s">
        <v>1555</v>
      </c>
      <c r="AC174" s="204" t="s">
        <v>1534</v>
      </c>
      <c r="AD174" s="204" t="s">
        <v>1556</v>
      </c>
      <c r="AE174" s="353">
        <v>88944</v>
      </c>
      <c r="AF174" s="353">
        <v>175029</v>
      </c>
      <c r="AG174" s="353">
        <v>0</v>
      </c>
      <c r="AH174" s="204" t="s">
        <v>298</v>
      </c>
      <c r="AI174" s="353">
        <v>1</v>
      </c>
      <c r="AJ174" s="353">
        <v>1</v>
      </c>
      <c r="AK174" s="353">
        <v>0</v>
      </c>
      <c r="AL174" s="353">
        <v>0</v>
      </c>
      <c r="AM174" s="353">
        <v>0</v>
      </c>
      <c r="AQ174" s="353">
        <v>0</v>
      </c>
      <c r="BC174" s="353">
        <v>0</v>
      </c>
      <c r="BD174" s="353">
        <v>0</v>
      </c>
      <c r="BF174" s="353">
        <v>0</v>
      </c>
      <c r="BG174" s="204" t="s">
        <v>1248</v>
      </c>
      <c r="BH174" s="204" t="s">
        <v>1248</v>
      </c>
      <c r="BJ174" s="204" t="s">
        <v>1557</v>
      </c>
      <c r="BK174" s="353">
        <v>3360</v>
      </c>
      <c r="BL174" s="353">
        <v>0</v>
      </c>
      <c r="BM174" s="353">
        <v>0</v>
      </c>
      <c r="BN174" s="353">
        <v>0</v>
      </c>
      <c r="BO174" s="353">
        <v>0</v>
      </c>
      <c r="BP174" s="353">
        <v>0</v>
      </c>
      <c r="BQ174" s="353">
        <v>0</v>
      </c>
      <c r="BT174" s="353">
        <v>0</v>
      </c>
      <c r="BU174" s="353">
        <v>0</v>
      </c>
      <c r="BX174" s="204" t="s">
        <v>1248</v>
      </c>
      <c r="BY174" s="204" t="s">
        <v>1248</v>
      </c>
      <c r="BZ174" s="204" t="s">
        <v>827</v>
      </c>
      <c r="CA174" s="353">
        <v>3360</v>
      </c>
      <c r="CB174" s="353">
        <v>237.66688864700001</v>
      </c>
      <c r="CC174" s="204" t="s">
        <v>247</v>
      </c>
      <c r="CD174" s="204" t="s">
        <v>300</v>
      </c>
      <c r="CE174" s="204" t="s">
        <v>301</v>
      </c>
      <c r="CF174" s="204" t="s">
        <v>1068</v>
      </c>
      <c r="CG174" s="204" t="s">
        <v>1256</v>
      </c>
      <c r="CH174" s="204" t="s">
        <v>1298</v>
      </c>
      <c r="CI174" s="204" t="s">
        <v>351</v>
      </c>
      <c r="CJ174" s="204" t="s">
        <v>678</v>
      </c>
      <c r="CK174" s="353">
        <v>-9999</v>
      </c>
      <c r="CM174" s="353">
        <v>-9999</v>
      </c>
      <c r="CO174" s="353">
        <v>-9999</v>
      </c>
      <c r="CS174" s="353">
        <v>-9999</v>
      </c>
      <c r="CT174" s="353">
        <v>-9999</v>
      </c>
      <c r="CV174" s="204" t="s">
        <v>1265</v>
      </c>
      <c r="CW174" s="353">
        <v>3.4283805060700001E-3</v>
      </c>
      <c r="CX174" s="204">
        <v>1503</v>
      </c>
      <c r="CY174" s="204">
        <v>0</v>
      </c>
      <c r="CZ174" s="204">
        <v>0</v>
      </c>
      <c r="DA174" s="204">
        <v>10</v>
      </c>
      <c r="DB174" s="353">
        <v>0</v>
      </c>
      <c r="DC174" s="353">
        <v>0</v>
      </c>
      <c r="DD174" s="204">
        <v>5</v>
      </c>
      <c r="DE174" s="353">
        <v>9396.7498278200001</v>
      </c>
      <c r="DF174" s="353">
        <v>94626.502319899999</v>
      </c>
      <c r="DG174" s="353">
        <v>0.96529797319699995</v>
      </c>
      <c r="DH174" s="353">
        <v>3371.99357801</v>
      </c>
    </row>
    <row r="175" spans="1:112">
      <c r="A175" s="204">
        <v>1505</v>
      </c>
      <c r="B175" s="204">
        <v>1</v>
      </c>
      <c r="C175" s="204">
        <v>20053</v>
      </c>
      <c r="D175" s="204">
        <v>2</v>
      </c>
      <c r="E175" s="204">
        <v>1505</v>
      </c>
      <c r="F175" s="204">
        <v>0</v>
      </c>
      <c r="G175" s="204">
        <v>1505</v>
      </c>
      <c r="H175" s="204" t="s">
        <v>1035</v>
      </c>
      <c r="I175" s="354">
        <v>38868</v>
      </c>
      <c r="J175" s="204" t="s">
        <v>1035</v>
      </c>
      <c r="K175" s="204" t="s">
        <v>1553</v>
      </c>
      <c r="L175" s="204" t="s">
        <v>1266</v>
      </c>
      <c r="M175" s="204" t="s">
        <v>1032</v>
      </c>
      <c r="N175" s="353">
        <v>100</v>
      </c>
      <c r="O175" s="204" t="s">
        <v>1554</v>
      </c>
      <c r="P175" s="204" t="s">
        <v>1036</v>
      </c>
      <c r="R175" s="204" t="s">
        <v>1248</v>
      </c>
      <c r="S175" s="353">
        <v>0</v>
      </c>
      <c r="T175" s="204" t="s">
        <v>1034</v>
      </c>
      <c r="U175" s="204" t="s">
        <v>569</v>
      </c>
      <c r="Z175" s="204" t="s">
        <v>369</v>
      </c>
      <c r="AA175" s="204" t="s">
        <v>704</v>
      </c>
      <c r="AB175" s="204" t="s">
        <v>1555</v>
      </c>
      <c r="AC175" s="204" t="s">
        <v>1534</v>
      </c>
      <c r="AD175" s="204" t="s">
        <v>1556</v>
      </c>
      <c r="AE175" s="353">
        <v>92598</v>
      </c>
      <c r="AF175" s="353">
        <v>182218</v>
      </c>
      <c r="AG175" s="353">
        <v>0</v>
      </c>
      <c r="AH175" s="204" t="s">
        <v>298</v>
      </c>
      <c r="AI175" s="353">
        <v>1</v>
      </c>
      <c r="AJ175" s="353">
        <v>1</v>
      </c>
      <c r="AK175" s="353">
        <v>0</v>
      </c>
      <c r="AL175" s="353">
        <v>0</v>
      </c>
      <c r="AM175" s="353">
        <v>0</v>
      </c>
      <c r="AQ175" s="353">
        <v>0</v>
      </c>
      <c r="BC175" s="353">
        <v>0</v>
      </c>
      <c r="BD175" s="353">
        <v>0</v>
      </c>
      <c r="BF175" s="353">
        <v>0</v>
      </c>
      <c r="BG175" s="204" t="s">
        <v>1248</v>
      </c>
      <c r="BH175" s="204" t="s">
        <v>1248</v>
      </c>
      <c r="BJ175" s="204" t="s">
        <v>1557</v>
      </c>
      <c r="BK175" s="353">
        <v>3498</v>
      </c>
      <c r="BL175" s="353">
        <v>0</v>
      </c>
      <c r="BM175" s="353">
        <v>0</v>
      </c>
      <c r="BN175" s="353">
        <v>0</v>
      </c>
      <c r="BO175" s="353">
        <v>0</v>
      </c>
      <c r="BP175" s="353">
        <v>0</v>
      </c>
      <c r="BQ175" s="353">
        <v>0</v>
      </c>
      <c r="BT175" s="353">
        <v>0</v>
      </c>
      <c r="BU175" s="353">
        <v>0</v>
      </c>
      <c r="BX175" s="204" t="s">
        <v>1248</v>
      </c>
      <c r="BY175" s="204" t="s">
        <v>1248</v>
      </c>
      <c r="BZ175" s="204" t="s">
        <v>827</v>
      </c>
      <c r="CA175" s="353">
        <v>3498</v>
      </c>
      <c r="CB175" s="353">
        <v>241.16570202400001</v>
      </c>
      <c r="CC175" s="204" t="s">
        <v>247</v>
      </c>
      <c r="CD175" s="204" t="s">
        <v>300</v>
      </c>
      <c r="CE175" s="204" t="s">
        <v>301</v>
      </c>
      <c r="CF175" s="204" t="s">
        <v>1068</v>
      </c>
      <c r="CG175" s="204" t="s">
        <v>1256</v>
      </c>
      <c r="CH175" s="204" t="s">
        <v>1298</v>
      </c>
      <c r="CI175" s="204" t="s">
        <v>351</v>
      </c>
      <c r="CJ175" s="204" t="s">
        <v>678</v>
      </c>
      <c r="CK175" s="353">
        <v>-9999</v>
      </c>
      <c r="CM175" s="353">
        <v>-9999</v>
      </c>
      <c r="CO175" s="353">
        <v>-9999</v>
      </c>
      <c r="CS175" s="353">
        <v>-9999</v>
      </c>
      <c r="CT175" s="353">
        <v>-9999</v>
      </c>
      <c r="CV175" s="204" t="s">
        <v>1265</v>
      </c>
      <c r="CW175" s="353">
        <v>3.4283805060700001E-3</v>
      </c>
      <c r="CX175" s="204">
        <v>1505</v>
      </c>
      <c r="CY175" s="204">
        <v>0</v>
      </c>
      <c r="CZ175" s="204">
        <v>0</v>
      </c>
      <c r="DA175" s="204">
        <v>10</v>
      </c>
      <c r="DB175" s="353">
        <v>0</v>
      </c>
      <c r="DC175" s="353">
        <v>0</v>
      </c>
      <c r="DD175" s="204">
        <v>5</v>
      </c>
      <c r="DE175" s="353">
        <v>9396.7498278200001</v>
      </c>
      <c r="DF175" s="353">
        <v>94626.502319899999</v>
      </c>
      <c r="DG175" s="353">
        <v>0.96529797319699995</v>
      </c>
      <c r="DH175" s="353">
        <v>3497.9691184600001</v>
      </c>
    </row>
    <row r="176" spans="1:112">
      <c r="A176" s="204">
        <v>1507</v>
      </c>
      <c r="B176" s="204">
        <v>1</v>
      </c>
      <c r="C176" s="204">
        <v>20055</v>
      </c>
      <c r="D176" s="204">
        <v>5</v>
      </c>
      <c r="E176" s="204">
        <v>1507</v>
      </c>
      <c r="F176" s="204">
        <v>0</v>
      </c>
      <c r="G176" s="204">
        <v>1507</v>
      </c>
      <c r="H176" s="204" t="s">
        <v>1037</v>
      </c>
      <c r="I176" s="354">
        <v>38868</v>
      </c>
      <c r="J176" s="204" t="s">
        <v>1037</v>
      </c>
      <c r="K176" s="204" t="s">
        <v>1553</v>
      </c>
      <c r="L176" s="204" t="s">
        <v>1266</v>
      </c>
      <c r="M176" s="204" t="s">
        <v>1032</v>
      </c>
      <c r="N176" s="353">
        <v>100</v>
      </c>
      <c r="O176" s="204" t="s">
        <v>1554</v>
      </c>
      <c r="P176" s="204" t="s">
        <v>1038</v>
      </c>
      <c r="R176" s="204" t="s">
        <v>1248</v>
      </c>
      <c r="S176" s="353">
        <v>0</v>
      </c>
      <c r="T176" s="204" t="s">
        <v>1034</v>
      </c>
      <c r="U176" s="204" t="s">
        <v>569</v>
      </c>
      <c r="Z176" s="204" t="s">
        <v>369</v>
      </c>
      <c r="AA176" s="204" t="s">
        <v>704</v>
      </c>
      <c r="AB176" s="204" t="s">
        <v>1555</v>
      </c>
      <c r="AC176" s="204" t="s">
        <v>1534</v>
      </c>
      <c r="AD176" s="204" t="s">
        <v>1556</v>
      </c>
      <c r="AE176" s="353">
        <v>137864</v>
      </c>
      <c r="AF176" s="353">
        <v>271296</v>
      </c>
      <c r="AG176" s="353">
        <v>0</v>
      </c>
      <c r="AH176" s="204" t="s">
        <v>298</v>
      </c>
      <c r="AI176" s="353">
        <v>1</v>
      </c>
      <c r="AJ176" s="353">
        <v>1</v>
      </c>
      <c r="AK176" s="353">
        <v>0</v>
      </c>
      <c r="AL176" s="353">
        <v>0</v>
      </c>
      <c r="AM176" s="353">
        <v>0</v>
      </c>
      <c r="AQ176" s="353">
        <v>0</v>
      </c>
      <c r="BC176" s="353">
        <v>0</v>
      </c>
      <c r="BD176" s="353">
        <v>0</v>
      </c>
      <c r="BF176" s="353">
        <v>0</v>
      </c>
      <c r="BG176" s="204" t="s">
        <v>1248</v>
      </c>
      <c r="BH176" s="204" t="s">
        <v>1248</v>
      </c>
      <c r="BJ176" s="204" t="s">
        <v>1557</v>
      </c>
      <c r="BK176" s="353">
        <v>5208</v>
      </c>
      <c r="BL176" s="353">
        <v>0</v>
      </c>
      <c r="BM176" s="353">
        <v>0</v>
      </c>
      <c r="BN176" s="353">
        <v>0</v>
      </c>
      <c r="BO176" s="353">
        <v>0</v>
      </c>
      <c r="BP176" s="353">
        <v>0</v>
      </c>
      <c r="BQ176" s="353">
        <v>0</v>
      </c>
      <c r="BT176" s="353">
        <v>0</v>
      </c>
      <c r="BU176" s="353">
        <v>0</v>
      </c>
      <c r="BX176" s="204" t="s">
        <v>1248</v>
      </c>
      <c r="BY176" s="204" t="s">
        <v>1248</v>
      </c>
      <c r="BZ176" s="204" t="s">
        <v>827</v>
      </c>
      <c r="CA176" s="353">
        <v>5208</v>
      </c>
      <c r="CB176" s="353">
        <v>288.66509823899997</v>
      </c>
      <c r="CC176" s="204" t="s">
        <v>247</v>
      </c>
      <c r="CD176" s="204" t="s">
        <v>300</v>
      </c>
      <c r="CE176" s="204" t="s">
        <v>301</v>
      </c>
      <c r="CF176" s="204" t="s">
        <v>1068</v>
      </c>
      <c r="CG176" s="204" t="s">
        <v>1256</v>
      </c>
      <c r="CH176" s="204" t="s">
        <v>1298</v>
      </c>
      <c r="CI176" s="204" t="s">
        <v>351</v>
      </c>
      <c r="CJ176" s="204" t="s">
        <v>678</v>
      </c>
      <c r="CK176" s="353">
        <v>-9999</v>
      </c>
      <c r="CM176" s="353">
        <v>-9999</v>
      </c>
      <c r="CO176" s="353">
        <v>-9999</v>
      </c>
      <c r="CS176" s="353">
        <v>-9999</v>
      </c>
      <c r="CT176" s="353">
        <v>-9999</v>
      </c>
      <c r="CV176" s="204" t="s">
        <v>1265</v>
      </c>
      <c r="CW176" s="353">
        <v>3.4283805060700001E-3</v>
      </c>
      <c r="CX176" s="204">
        <v>1507</v>
      </c>
      <c r="CY176" s="204">
        <v>0</v>
      </c>
      <c r="CZ176" s="204">
        <v>0</v>
      </c>
      <c r="DA176" s="204">
        <v>10</v>
      </c>
      <c r="DB176" s="353">
        <v>0</v>
      </c>
      <c r="DC176" s="353">
        <v>0</v>
      </c>
      <c r="DD176" s="204">
        <v>5</v>
      </c>
      <c r="DE176" s="353">
        <v>9396.7498278200001</v>
      </c>
      <c r="DF176" s="353">
        <v>94626.502319899999</v>
      </c>
      <c r="DG176" s="353">
        <v>0.96529797319699995</v>
      </c>
      <c r="DH176" s="353">
        <v>5207.9433165600003</v>
      </c>
    </row>
    <row r="177" spans="1:112">
      <c r="A177" s="204">
        <v>1509</v>
      </c>
      <c r="B177" s="204">
        <v>1</v>
      </c>
      <c r="C177" s="204">
        <v>20057</v>
      </c>
      <c r="D177" s="204">
        <v>1</v>
      </c>
      <c r="E177" s="204">
        <v>1509</v>
      </c>
      <c r="F177" s="204">
        <v>0</v>
      </c>
      <c r="G177" s="204">
        <v>1509</v>
      </c>
      <c r="H177" s="204" t="s">
        <v>1079</v>
      </c>
      <c r="I177" s="354">
        <v>38868</v>
      </c>
      <c r="J177" s="204" t="s">
        <v>1079</v>
      </c>
      <c r="K177" s="204" t="s">
        <v>1553</v>
      </c>
      <c r="L177" s="204" t="s">
        <v>1266</v>
      </c>
      <c r="M177" s="204" t="s">
        <v>1032</v>
      </c>
      <c r="N177" s="353">
        <v>100</v>
      </c>
      <c r="O177" s="204" t="s">
        <v>1554</v>
      </c>
      <c r="P177" s="204" t="s">
        <v>1080</v>
      </c>
      <c r="R177" s="204" t="s">
        <v>1248</v>
      </c>
      <c r="S177" s="353">
        <v>0</v>
      </c>
      <c r="T177" s="204" t="s">
        <v>1034</v>
      </c>
      <c r="U177" s="204" t="s">
        <v>569</v>
      </c>
      <c r="Z177" s="204" t="s">
        <v>369</v>
      </c>
      <c r="AA177" s="204" t="s">
        <v>704</v>
      </c>
      <c r="AB177" s="204" t="s">
        <v>1555</v>
      </c>
      <c r="AC177" s="204" t="s">
        <v>1534</v>
      </c>
      <c r="AD177" s="204" t="s">
        <v>1556</v>
      </c>
      <c r="AE177" s="353">
        <v>106281</v>
      </c>
      <c r="AF177" s="353">
        <v>209150</v>
      </c>
      <c r="AG177" s="353">
        <v>0</v>
      </c>
      <c r="AH177" s="204" t="s">
        <v>298</v>
      </c>
      <c r="AI177" s="353">
        <v>1</v>
      </c>
      <c r="AJ177" s="353">
        <v>1</v>
      </c>
      <c r="AK177" s="353">
        <v>0</v>
      </c>
      <c r="AL177" s="353">
        <v>0</v>
      </c>
      <c r="AM177" s="353">
        <v>0</v>
      </c>
      <c r="AQ177" s="353">
        <v>0</v>
      </c>
      <c r="BC177" s="353">
        <v>0</v>
      </c>
      <c r="BD177" s="353">
        <v>0</v>
      </c>
      <c r="BF177" s="353">
        <v>0</v>
      </c>
      <c r="BG177" s="204" t="s">
        <v>1248</v>
      </c>
      <c r="BH177" s="204" t="s">
        <v>1248</v>
      </c>
      <c r="BJ177" s="204" t="s">
        <v>1557</v>
      </c>
      <c r="BK177" s="353">
        <v>4015</v>
      </c>
      <c r="BL177" s="353">
        <v>0</v>
      </c>
      <c r="BM177" s="353">
        <v>0</v>
      </c>
      <c r="BN177" s="353">
        <v>0</v>
      </c>
      <c r="BO177" s="353">
        <v>0</v>
      </c>
      <c r="BP177" s="353">
        <v>0</v>
      </c>
      <c r="BQ177" s="353">
        <v>0</v>
      </c>
      <c r="BT177" s="353">
        <v>0</v>
      </c>
      <c r="BU177" s="353">
        <v>0</v>
      </c>
      <c r="BX177" s="204" t="s">
        <v>1248</v>
      </c>
      <c r="BY177" s="204" t="s">
        <v>1248</v>
      </c>
      <c r="BZ177" s="204" t="s">
        <v>1558</v>
      </c>
      <c r="CA177" s="353">
        <v>4015</v>
      </c>
      <c r="CB177" s="353">
        <v>255.49907478700001</v>
      </c>
      <c r="CC177" s="204" t="s">
        <v>247</v>
      </c>
      <c r="CD177" s="204" t="s">
        <v>300</v>
      </c>
      <c r="CE177" s="204" t="s">
        <v>301</v>
      </c>
      <c r="CF177" s="204" t="s">
        <v>1068</v>
      </c>
      <c r="CG177" s="204" t="s">
        <v>1256</v>
      </c>
      <c r="CH177" s="204" t="s">
        <v>1298</v>
      </c>
      <c r="CI177" s="204" t="s">
        <v>351</v>
      </c>
      <c r="CJ177" s="204" t="s">
        <v>678</v>
      </c>
      <c r="CK177" s="353">
        <v>-9999</v>
      </c>
      <c r="CM177" s="353">
        <v>-9999</v>
      </c>
      <c r="CO177" s="353">
        <v>-9999</v>
      </c>
      <c r="CS177" s="353">
        <v>-9999</v>
      </c>
      <c r="CT177" s="353">
        <v>-9999</v>
      </c>
      <c r="CV177" s="204" t="s">
        <v>1265</v>
      </c>
      <c r="CW177" s="353">
        <v>3.4283805060700001E-3</v>
      </c>
      <c r="CX177" s="204">
        <v>1509</v>
      </c>
      <c r="CY177" s="204">
        <v>0</v>
      </c>
      <c r="CZ177" s="204">
        <v>0</v>
      </c>
      <c r="DA177" s="204">
        <v>10</v>
      </c>
      <c r="DB177" s="353">
        <v>0</v>
      </c>
      <c r="DC177" s="353">
        <v>0</v>
      </c>
      <c r="DD177" s="204">
        <v>6</v>
      </c>
      <c r="DE177" s="353">
        <v>17.895596994600002</v>
      </c>
      <c r="DF177" s="353">
        <v>19.746349679000001</v>
      </c>
      <c r="DG177" s="353">
        <v>0.96529797319699995</v>
      </c>
      <c r="DH177" s="353">
        <v>4013.9774092600001</v>
      </c>
    </row>
    <row r="178" spans="1:112">
      <c r="A178" s="204">
        <v>1511</v>
      </c>
      <c r="B178" s="204">
        <v>1</v>
      </c>
      <c r="C178" s="204">
        <v>20059</v>
      </c>
      <c r="D178" s="204">
        <v>1</v>
      </c>
      <c r="E178" s="204">
        <v>1511</v>
      </c>
      <c r="F178" s="204">
        <v>0</v>
      </c>
      <c r="G178" s="204">
        <v>1511</v>
      </c>
      <c r="H178" s="204" t="s">
        <v>1081</v>
      </c>
      <c r="I178" s="354">
        <v>38868</v>
      </c>
      <c r="J178" s="204" t="s">
        <v>1081</v>
      </c>
      <c r="K178" s="204" t="s">
        <v>1553</v>
      </c>
      <c r="L178" s="204" t="s">
        <v>1266</v>
      </c>
      <c r="M178" s="204" t="s">
        <v>1032</v>
      </c>
      <c r="N178" s="353">
        <v>100</v>
      </c>
      <c r="O178" s="204" t="s">
        <v>1554</v>
      </c>
      <c r="P178" s="204" t="s">
        <v>1082</v>
      </c>
      <c r="R178" s="204" t="s">
        <v>1248</v>
      </c>
      <c r="S178" s="353">
        <v>0</v>
      </c>
      <c r="T178" s="204" t="s">
        <v>1034</v>
      </c>
      <c r="U178" s="204" t="s">
        <v>569</v>
      </c>
      <c r="Z178" s="204" t="s">
        <v>369</v>
      </c>
      <c r="AA178" s="204" t="s">
        <v>704</v>
      </c>
      <c r="AB178" s="204" t="s">
        <v>1555</v>
      </c>
      <c r="AC178" s="204" t="s">
        <v>1534</v>
      </c>
      <c r="AD178" s="204" t="s">
        <v>1556</v>
      </c>
      <c r="AE178" s="353">
        <v>96000</v>
      </c>
      <c r="AF178" s="353">
        <v>189000</v>
      </c>
      <c r="AG178" s="353">
        <v>0</v>
      </c>
      <c r="AH178" s="204" t="s">
        <v>298</v>
      </c>
      <c r="AI178" s="353">
        <v>1</v>
      </c>
      <c r="AJ178" s="353">
        <v>1</v>
      </c>
      <c r="AK178" s="353">
        <v>0</v>
      </c>
      <c r="AL178" s="353">
        <v>0</v>
      </c>
      <c r="AM178" s="353">
        <v>0</v>
      </c>
      <c r="AQ178" s="353">
        <v>0</v>
      </c>
      <c r="BC178" s="353">
        <v>0</v>
      </c>
      <c r="BD178" s="353">
        <v>0</v>
      </c>
      <c r="BF178" s="353">
        <v>0</v>
      </c>
      <c r="BG178" s="204" t="s">
        <v>1248</v>
      </c>
      <c r="BH178" s="204" t="s">
        <v>1248</v>
      </c>
      <c r="BJ178" s="204" t="s">
        <v>1557</v>
      </c>
      <c r="BK178" s="353">
        <v>3759</v>
      </c>
      <c r="BL178" s="353">
        <v>0</v>
      </c>
      <c r="BM178" s="353">
        <v>0</v>
      </c>
      <c r="BN178" s="353">
        <v>0</v>
      </c>
      <c r="BO178" s="353">
        <v>0</v>
      </c>
      <c r="BP178" s="353">
        <v>0</v>
      </c>
      <c r="BQ178" s="353">
        <v>0</v>
      </c>
      <c r="BT178" s="353">
        <v>0</v>
      </c>
      <c r="BU178" s="353">
        <v>0</v>
      </c>
      <c r="BX178" s="204" t="s">
        <v>1248</v>
      </c>
      <c r="BY178" s="204" t="s">
        <v>1248</v>
      </c>
      <c r="BZ178" s="204" t="s">
        <v>1558</v>
      </c>
      <c r="CA178" s="353">
        <v>3759</v>
      </c>
      <c r="CB178" s="353">
        <v>248.333719917</v>
      </c>
      <c r="CC178" s="204" t="s">
        <v>247</v>
      </c>
      <c r="CD178" s="204" t="s">
        <v>300</v>
      </c>
      <c r="CE178" s="204" t="s">
        <v>301</v>
      </c>
      <c r="CF178" s="204" t="s">
        <v>1068</v>
      </c>
      <c r="CG178" s="204" t="s">
        <v>1256</v>
      </c>
      <c r="CH178" s="204" t="s">
        <v>1298</v>
      </c>
      <c r="CI178" s="204" t="s">
        <v>351</v>
      </c>
      <c r="CJ178" s="204" t="s">
        <v>678</v>
      </c>
      <c r="CK178" s="353">
        <v>-9999</v>
      </c>
      <c r="CM178" s="353">
        <v>-9999</v>
      </c>
      <c r="CO178" s="353">
        <v>-9999</v>
      </c>
      <c r="CS178" s="353">
        <v>-9999</v>
      </c>
      <c r="CT178" s="353">
        <v>-9999</v>
      </c>
      <c r="CV178" s="204" t="s">
        <v>1265</v>
      </c>
      <c r="CW178" s="353">
        <v>3.4283805060700001E-3</v>
      </c>
      <c r="CX178" s="204">
        <v>1511</v>
      </c>
      <c r="CY178" s="204">
        <v>0</v>
      </c>
      <c r="CZ178" s="204">
        <v>0</v>
      </c>
      <c r="DA178" s="204">
        <v>10</v>
      </c>
      <c r="DB178" s="353">
        <v>0</v>
      </c>
      <c r="DC178" s="353">
        <v>0</v>
      </c>
      <c r="DD178" s="204">
        <v>6</v>
      </c>
      <c r="DE178" s="353">
        <v>17.8955969909</v>
      </c>
      <c r="DF178" s="353">
        <v>19.746349671600001</v>
      </c>
      <c r="DG178" s="353">
        <v>0.96529797319699995</v>
      </c>
      <c r="DH178" s="353">
        <v>3756.0027534000001</v>
      </c>
    </row>
    <row r="179" spans="1:112">
      <c r="A179" s="204">
        <v>1513</v>
      </c>
      <c r="B179" s="204">
        <v>1</v>
      </c>
      <c r="C179" s="204">
        <v>20061</v>
      </c>
      <c r="D179" s="204">
        <v>3</v>
      </c>
      <c r="E179" s="204">
        <v>1513</v>
      </c>
      <c r="F179" s="204">
        <v>0</v>
      </c>
      <c r="G179" s="204">
        <v>1513</v>
      </c>
      <c r="H179" s="204" t="s">
        <v>1095</v>
      </c>
      <c r="I179" s="354">
        <v>38868</v>
      </c>
      <c r="J179" s="204" t="s">
        <v>1095</v>
      </c>
      <c r="K179" s="204" t="s">
        <v>1553</v>
      </c>
      <c r="L179" s="204" t="s">
        <v>1266</v>
      </c>
      <c r="M179" s="204" t="s">
        <v>1040</v>
      </c>
      <c r="N179" s="353">
        <v>100</v>
      </c>
      <c r="P179" s="204" t="s">
        <v>1096</v>
      </c>
      <c r="R179" s="204" t="s">
        <v>1248</v>
      </c>
      <c r="S179" s="353">
        <v>0</v>
      </c>
      <c r="T179" s="204" t="s">
        <v>1034</v>
      </c>
      <c r="U179" s="204" t="s">
        <v>569</v>
      </c>
      <c r="W179" s="204" t="s">
        <v>1097</v>
      </c>
      <c r="Y179" s="204" t="s">
        <v>1098</v>
      </c>
      <c r="Z179" s="204" t="s">
        <v>369</v>
      </c>
      <c r="AA179" s="204" t="s">
        <v>704</v>
      </c>
      <c r="AB179" s="204" t="s">
        <v>1555</v>
      </c>
      <c r="AC179" s="204" t="s">
        <v>1534</v>
      </c>
      <c r="AD179" s="204" t="s">
        <v>1556</v>
      </c>
      <c r="AE179" s="353">
        <v>73158</v>
      </c>
      <c r="AF179" s="353">
        <v>152587</v>
      </c>
      <c r="AG179" s="353">
        <v>0</v>
      </c>
      <c r="AH179" s="204" t="s">
        <v>298</v>
      </c>
      <c r="AI179" s="353">
        <v>1</v>
      </c>
      <c r="AJ179" s="353">
        <v>1</v>
      </c>
      <c r="AK179" s="353">
        <v>0</v>
      </c>
      <c r="AL179" s="353">
        <v>0</v>
      </c>
      <c r="AM179" s="353">
        <v>0</v>
      </c>
      <c r="AQ179" s="353">
        <v>0</v>
      </c>
      <c r="BC179" s="353">
        <v>0</v>
      </c>
      <c r="BD179" s="353">
        <v>0</v>
      </c>
      <c r="BF179" s="353">
        <v>0</v>
      </c>
      <c r="BG179" s="204" t="s">
        <v>1248</v>
      </c>
      <c r="BH179" s="204" t="s">
        <v>1248</v>
      </c>
      <c r="BJ179" s="204" t="s">
        <v>1557</v>
      </c>
      <c r="BK179" s="353">
        <v>4102</v>
      </c>
      <c r="BL179" s="353">
        <v>1</v>
      </c>
      <c r="BM179" s="353">
        <v>1</v>
      </c>
      <c r="BN179" s="353">
        <v>0</v>
      </c>
      <c r="BO179" s="353">
        <v>0</v>
      </c>
      <c r="BP179" s="353">
        <v>0</v>
      </c>
      <c r="BQ179" s="353">
        <v>0</v>
      </c>
      <c r="BT179" s="353">
        <v>0</v>
      </c>
      <c r="BU179" s="353">
        <v>4102</v>
      </c>
      <c r="BV179" s="204" t="s">
        <v>1248</v>
      </c>
      <c r="BW179" s="204" t="s">
        <v>1253</v>
      </c>
      <c r="BX179" s="204" t="s">
        <v>1248</v>
      </c>
      <c r="BY179" s="204" t="s">
        <v>1248</v>
      </c>
      <c r="BZ179" s="204" t="s">
        <v>1558</v>
      </c>
      <c r="CA179" s="353">
        <v>4102</v>
      </c>
      <c r="CB179" s="353">
        <v>288.33535145899998</v>
      </c>
      <c r="CC179" s="204" t="s">
        <v>247</v>
      </c>
      <c r="CD179" s="204" t="s">
        <v>300</v>
      </c>
      <c r="CE179" s="204" t="s">
        <v>301</v>
      </c>
      <c r="CF179" s="204" t="s">
        <v>1068</v>
      </c>
      <c r="CG179" s="204" t="s">
        <v>1256</v>
      </c>
      <c r="CH179" s="204" t="s">
        <v>1298</v>
      </c>
      <c r="CI179" s="204" t="s">
        <v>351</v>
      </c>
      <c r="CJ179" s="204" t="s">
        <v>678</v>
      </c>
      <c r="CK179" s="353">
        <v>-9999</v>
      </c>
      <c r="CM179" s="353">
        <v>-9999</v>
      </c>
      <c r="CO179" s="353">
        <v>-9999</v>
      </c>
      <c r="CS179" s="353">
        <v>-9999</v>
      </c>
      <c r="CT179" s="353">
        <v>-9999</v>
      </c>
      <c r="CV179" s="204" t="s">
        <v>1265</v>
      </c>
      <c r="CW179" s="353">
        <v>3.4283805060700001E-3</v>
      </c>
      <c r="CX179" s="204">
        <v>1513</v>
      </c>
      <c r="CY179" s="204">
        <v>0</v>
      </c>
      <c r="CZ179" s="204">
        <v>0</v>
      </c>
      <c r="DA179" s="204">
        <v>10</v>
      </c>
      <c r="DB179" s="353">
        <v>0</v>
      </c>
      <c r="DC179" s="353">
        <v>0</v>
      </c>
      <c r="DD179" s="204">
        <v>6</v>
      </c>
      <c r="DE179" s="353">
        <v>35.7913913163</v>
      </c>
      <c r="DF179" s="353">
        <v>59.2395929387</v>
      </c>
      <c r="DG179" s="353">
        <v>0.96529797319699995</v>
      </c>
      <c r="DH179" s="353">
        <v>4111.6489423200001</v>
      </c>
    </row>
    <row r="180" spans="1:112">
      <c r="A180" s="204">
        <v>1515</v>
      </c>
      <c r="B180" s="204">
        <v>1</v>
      </c>
      <c r="C180" s="204">
        <v>20063</v>
      </c>
      <c r="D180" s="204">
        <v>6</v>
      </c>
      <c r="E180" s="204">
        <v>1515</v>
      </c>
      <c r="F180" s="204">
        <v>0</v>
      </c>
      <c r="G180" s="204">
        <v>1515</v>
      </c>
      <c r="H180" s="204" t="s">
        <v>1039</v>
      </c>
      <c r="I180" s="354">
        <v>38868</v>
      </c>
      <c r="J180" s="204" t="s">
        <v>1039</v>
      </c>
      <c r="K180" s="204" t="s">
        <v>1553</v>
      </c>
      <c r="L180" s="204" t="s">
        <v>1266</v>
      </c>
      <c r="M180" s="204" t="s">
        <v>1040</v>
      </c>
      <c r="N180" s="353">
        <v>100</v>
      </c>
      <c r="P180" s="204" t="s">
        <v>1041</v>
      </c>
      <c r="R180" s="204" t="s">
        <v>1248</v>
      </c>
      <c r="S180" s="353">
        <v>0</v>
      </c>
      <c r="T180" s="204" t="s">
        <v>1034</v>
      </c>
      <c r="U180" s="204" t="s">
        <v>569</v>
      </c>
      <c r="W180" s="204" t="s">
        <v>1042</v>
      </c>
      <c r="Y180" s="204" t="s">
        <v>785</v>
      </c>
      <c r="Z180" s="204" t="s">
        <v>369</v>
      </c>
      <c r="AA180" s="204" t="s">
        <v>704</v>
      </c>
      <c r="AB180" s="204" t="s">
        <v>1555</v>
      </c>
      <c r="AC180" s="204" t="s">
        <v>1534</v>
      </c>
      <c r="AD180" s="204" t="s">
        <v>1556</v>
      </c>
      <c r="AE180" s="353">
        <v>91970</v>
      </c>
      <c r="AF180" s="353">
        <v>193347</v>
      </c>
      <c r="AG180" s="353">
        <v>0</v>
      </c>
      <c r="AH180" s="204" t="s">
        <v>298</v>
      </c>
      <c r="AI180" s="353">
        <v>1</v>
      </c>
      <c r="AJ180" s="353">
        <v>1</v>
      </c>
      <c r="AK180" s="353">
        <v>0</v>
      </c>
      <c r="AL180" s="353">
        <v>0</v>
      </c>
      <c r="AM180" s="353">
        <v>0</v>
      </c>
      <c r="AQ180" s="353">
        <v>0</v>
      </c>
      <c r="BC180" s="353">
        <v>0</v>
      </c>
      <c r="BD180" s="353">
        <v>0</v>
      </c>
      <c r="BF180" s="353">
        <v>0</v>
      </c>
      <c r="BG180" s="204" t="s">
        <v>1248</v>
      </c>
      <c r="BH180" s="204" t="s">
        <v>1248</v>
      </c>
      <c r="BJ180" s="204" t="s">
        <v>1557</v>
      </c>
      <c r="BK180" s="353">
        <v>5183</v>
      </c>
      <c r="BL180" s="353">
        <v>1</v>
      </c>
      <c r="BM180" s="353">
        <v>1</v>
      </c>
      <c r="BN180" s="353">
        <v>0</v>
      </c>
      <c r="BO180" s="353">
        <v>0</v>
      </c>
      <c r="BP180" s="353">
        <v>0</v>
      </c>
      <c r="BQ180" s="353">
        <v>0</v>
      </c>
      <c r="BT180" s="353">
        <v>0</v>
      </c>
      <c r="BU180" s="353">
        <v>5183</v>
      </c>
      <c r="BV180" s="204" t="s">
        <v>1248</v>
      </c>
      <c r="BW180" s="204" t="s">
        <v>1253</v>
      </c>
      <c r="BX180" s="204" t="s">
        <v>1248</v>
      </c>
      <c r="BY180" s="204" t="s">
        <v>1248</v>
      </c>
      <c r="BZ180" s="204" t="s">
        <v>730</v>
      </c>
      <c r="CA180" s="353">
        <v>5183</v>
      </c>
      <c r="CB180" s="353">
        <v>287.99980094599999</v>
      </c>
      <c r="CC180" s="204" t="s">
        <v>247</v>
      </c>
      <c r="CD180" s="204" t="s">
        <v>300</v>
      </c>
      <c r="CE180" s="204" t="s">
        <v>301</v>
      </c>
      <c r="CF180" s="204" t="s">
        <v>1068</v>
      </c>
      <c r="CG180" s="204" t="s">
        <v>1256</v>
      </c>
      <c r="CH180" s="204" t="s">
        <v>1298</v>
      </c>
      <c r="CI180" s="204" t="s">
        <v>351</v>
      </c>
      <c r="CJ180" s="204" t="s">
        <v>678</v>
      </c>
      <c r="CK180" s="353">
        <v>-9999</v>
      </c>
      <c r="CM180" s="353">
        <v>-9999</v>
      </c>
      <c r="CO180" s="353">
        <v>-9999</v>
      </c>
      <c r="CS180" s="353">
        <v>-9999</v>
      </c>
      <c r="CT180" s="353">
        <v>-9999</v>
      </c>
      <c r="CV180" s="204" t="s">
        <v>1265</v>
      </c>
      <c r="CW180" s="353">
        <v>3.4283805060700001E-3</v>
      </c>
      <c r="CX180" s="204">
        <v>1515</v>
      </c>
      <c r="CY180" s="204">
        <v>0</v>
      </c>
      <c r="CZ180" s="204">
        <v>0</v>
      </c>
      <c r="DA180" s="204">
        <v>10</v>
      </c>
      <c r="DB180" s="353">
        <v>0</v>
      </c>
      <c r="DC180" s="353">
        <v>0</v>
      </c>
      <c r="DD180" s="204">
        <v>5</v>
      </c>
      <c r="DE180" s="353">
        <v>9396.7498278200001</v>
      </c>
      <c r="DF180" s="353">
        <v>94626.502319899999</v>
      </c>
      <c r="DG180" s="353">
        <v>0.96529797319699995</v>
      </c>
      <c r="DH180" s="353">
        <v>5183.9910124199996</v>
      </c>
    </row>
    <row r="181" spans="1:112">
      <c r="A181" s="204">
        <v>1516</v>
      </c>
      <c r="B181" s="204">
        <v>1</v>
      </c>
      <c r="C181" s="204">
        <v>20064</v>
      </c>
      <c r="D181" s="204">
        <v>2</v>
      </c>
      <c r="E181" s="204">
        <v>1516</v>
      </c>
      <c r="F181" s="204">
        <v>0</v>
      </c>
      <c r="G181" s="204">
        <v>1516</v>
      </c>
      <c r="H181" s="204" t="s">
        <v>1099</v>
      </c>
      <c r="I181" s="354">
        <v>38868</v>
      </c>
      <c r="J181" s="204" t="s">
        <v>1099</v>
      </c>
      <c r="K181" s="204" t="s">
        <v>1553</v>
      </c>
      <c r="L181" s="204" t="s">
        <v>1266</v>
      </c>
      <c r="M181" s="204" t="s">
        <v>1040</v>
      </c>
      <c r="N181" s="353">
        <v>100</v>
      </c>
      <c r="P181" s="204" t="s">
        <v>1100</v>
      </c>
      <c r="R181" s="204" t="s">
        <v>1248</v>
      </c>
      <c r="S181" s="353">
        <v>0</v>
      </c>
      <c r="T181" s="204" t="s">
        <v>1034</v>
      </c>
      <c r="U181" s="204" t="s">
        <v>569</v>
      </c>
      <c r="W181" s="204" t="s">
        <v>1042</v>
      </c>
      <c r="Y181" s="204" t="s">
        <v>1101</v>
      </c>
      <c r="Z181" s="204" t="s">
        <v>369</v>
      </c>
      <c r="AA181" s="204" t="s">
        <v>704</v>
      </c>
      <c r="AB181" s="204" t="s">
        <v>1555</v>
      </c>
      <c r="AC181" s="204" t="s">
        <v>1534</v>
      </c>
      <c r="AD181" s="204" t="s">
        <v>1556</v>
      </c>
      <c r="AE181" s="353">
        <v>90924</v>
      </c>
      <c r="AF181" s="353">
        <v>191257</v>
      </c>
      <c r="AG181" s="353">
        <v>0</v>
      </c>
      <c r="AH181" s="204" t="s">
        <v>298</v>
      </c>
      <c r="AI181" s="353">
        <v>1</v>
      </c>
      <c r="AJ181" s="353">
        <v>1</v>
      </c>
      <c r="AK181" s="353">
        <v>0</v>
      </c>
      <c r="AL181" s="353">
        <v>0</v>
      </c>
      <c r="AM181" s="353">
        <v>0</v>
      </c>
      <c r="AQ181" s="353">
        <v>0</v>
      </c>
      <c r="BC181" s="353">
        <v>0</v>
      </c>
      <c r="BD181" s="353">
        <v>0</v>
      </c>
      <c r="BF181" s="353">
        <v>0</v>
      </c>
      <c r="BG181" s="204" t="s">
        <v>1248</v>
      </c>
      <c r="BH181" s="204" t="s">
        <v>1248</v>
      </c>
      <c r="BJ181" s="204" t="s">
        <v>1557</v>
      </c>
      <c r="BK181" s="353">
        <v>5128</v>
      </c>
      <c r="BL181" s="353">
        <v>1</v>
      </c>
      <c r="BM181" s="353">
        <v>1</v>
      </c>
      <c r="BN181" s="353">
        <v>0</v>
      </c>
      <c r="BO181" s="353">
        <v>0</v>
      </c>
      <c r="BP181" s="353">
        <v>0</v>
      </c>
      <c r="BQ181" s="353">
        <v>0</v>
      </c>
      <c r="BT181" s="353">
        <v>0</v>
      </c>
      <c r="BU181" s="353">
        <v>5128</v>
      </c>
      <c r="BV181" s="204" t="s">
        <v>1248</v>
      </c>
      <c r="BW181" s="204" t="s">
        <v>1253</v>
      </c>
      <c r="BX181" s="204" t="s">
        <v>1248</v>
      </c>
      <c r="BY181" s="204" t="s">
        <v>1248</v>
      </c>
      <c r="BZ181" s="204" t="s">
        <v>730</v>
      </c>
      <c r="CA181" s="353">
        <v>5128</v>
      </c>
      <c r="CB181" s="353">
        <v>299.99852597699999</v>
      </c>
      <c r="CC181" s="204" t="s">
        <v>247</v>
      </c>
      <c r="CD181" s="204" t="s">
        <v>300</v>
      </c>
      <c r="CE181" s="204" t="s">
        <v>301</v>
      </c>
      <c r="CF181" s="204" t="s">
        <v>1068</v>
      </c>
      <c r="CG181" s="204" t="s">
        <v>1256</v>
      </c>
      <c r="CH181" s="204" t="s">
        <v>1298</v>
      </c>
      <c r="CI181" s="204" t="s">
        <v>351</v>
      </c>
      <c r="CJ181" s="204" t="s">
        <v>678</v>
      </c>
      <c r="CK181" s="353">
        <v>-9999</v>
      </c>
      <c r="CM181" s="353">
        <v>-9999</v>
      </c>
      <c r="CO181" s="353">
        <v>-9999</v>
      </c>
      <c r="CS181" s="353">
        <v>-9999</v>
      </c>
      <c r="CT181" s="353">
        <v>-9999</v>
      </c>
      <c r="CV181" s="204" t="s">
        <v>1265</v>
      </c>
      <c r="CW181" s="353">
        <v>3.4283805060700001E-3</v>
      </c>
      <c r="CX181" s="204">
        <v>1516</v>
      </c>
      <c r="CY181" s="204">
        <v>0</v>
      </c>
      <c r="CZ181" s="204">
        <v>0</v>
      </c>
      <c r="DA181" s="204">
        <v>10</v>
      </c>
      <c r="DB181" s="353">
        <v>0</v>
      </c>
      <c r="DC181" s="353">
        <v>0</v>
      </c>
      <c r="DD181" s="204">
        <v>6</v>
      </c>
      <c r="DE181" s="353">
        <v>25.805570550700001</v>
      </c>
      <c r="DF181" s="353">
        <v>39.493588151700003</v>
      </c>
      <c r="DG181" s="353">
        <v>0.96529797319699995</v>
      </c>
      <c r="DH181" s="353">
        <v>5127.9721173400003</v>
      </c>
    </row>
    <row r="182" spans="1:112">
      <c r="A182" s="204">
        <v>1517</v>
      </c>
      <c r="B182" s="204">
        <v>1</v>
      </c>
      <c r="C182" s="204">
        <v>20101</v>
      </c>
      <c r="D182" s="204">
        <v>1</v>
      </c>
      <c r="E182" s="204">
        <v>1517</v>
      </c>
      <c r="F182" s="204">
        <v>0</v>
      </c>
      <c r="G182" s="204">
        <v>1517</v>
      </c>
      <c r="H182" s="204" t="s">
        <v>1102</v>
      </c>
      <c r="I182" s="354">
        <v>37462</v>
      </c>
      <c r="J182" s="204" t="s">
        <v>1102</v>
      </c>
      <c r="K182" s="204" t="s">
        <v>1559</v>
      </c>
      <c r="L182" s="204" t="s">
        <v>1247</v>
      </c>
      <c r="M182" s="204" t="s">
        <v>1103</v>
      </c>
      <c r="N182" s="353">
        <v>100</v>
      </c>
      <c r="P182" s="204" t="s">
        <v>1104</v>
      </c>
      <c r="R182" s="204" t="s">
        <v>1248</v>
      </c>
      <c r="S182" s="353">
        <v>0</v>
      </c>
      <c r="T182" s="204" t="s">
        <v>1105</v>
      </c>
      <c r="U182" s="204" t="s">
        <v>294</v>
      </c>
      <c r="W182" s="204" t="s">
        <v>1106</v>
      </c>
      <c r="Z182" s="204" t="s">
        <v>369</v>
      </c>
      <c r="AA182" s="204" t="s">
        <v>704</v>
      </c>
      <c r="AB182" s="204" t="s">
        <v>1560</v>
      </c>
      <c r="AC182" s="204" t="s">
        <v>1292</v>
      </c>
      <c r="AD182" s="204" t="s">
        <v>384</v>
      </c>
      <c r="AE182" s="353">
        <v>132855</v>
      </c>
      <c r="AF182" s="353">
        <v>169392</v>
      </c>
      <c r="AG182" s="353">
        <v>0</v>
      </c>
      <c r="AH182" s="204" t="s">
        <v>423</v>
      </c>
      <c r="AI182" s="353">
        <v>1</v>
      </c>
      <c r="AJ182" s="353">
        <v>2</v>
      </c>
      <c r="AK182" s="353">
        <v>4</v>
      </c>
      <c r="AL182" s="353">
        <v>2</v>
      </c>
      <c r="AM182" s="353">
        <v>12</v>
      </c>
      <c r="AN182" s="204" t="s">
        <v>186</v>
      </c>
      <c r="AO182" s="204" t="s">
        <v>1248</v>
      </c>
      <c r="AP182" s="204" t="s">
        <v>1248</v>
      </c>
      <c r="AQ182" s="353">
        <v>0</v>
      </c>
      <c r="AR182" s="204" t="s">
        <v>1248</v>
      </c>
      <c r="AS182" s="204" t="s">
        <v>1248</v>
      </c>
      <c r="AT182" s="204" t="s">
        <v>1248</v>
      </c>
      <c r="AU182" s="204" t="s">
        <v>1248</v>
      </c>
      <c r="AW182" s="204" t="s">
        <v>1248</v>
      </c>
      <c r="AX182" s="204" t="s">
        <v>1253</v>
      </c>
      <c r="AY182" s="204" t="s">
        <v>1248</v>
      </c>
      <c r="AZ182" s="204" t="s">
        <v>1248</v>
      </c>
      <c r="BA182" s="204" t="s">
        <v>1248</v>
      </c>
      <c r="BB182" s="204" t="s">
        <v>1561</v>
      </c>
      <c r="BC182" s="353">
        <v>4000</v>
      </c>
      <c r="BD182" s="353">
        <v>2170</v>
      </c>
      <c r="BE182" s="204" t="s">
        <v>723</v>
      </c>
      <c r="BF182" s="353">
        <v>0</v>
      </c>
      <c r="BG182" s="204" t="s">
        <v>1248</v>
      </c>
      <c r="BH182" s="204" t="s">
        <v>1248</v>
      </c>
      <c r="BI182" s="204" t="s">
        <v>723</v>
      </c>
      <c r="BK182" s="353">
        <v>0</v>
      </c>
      <c r="BL182" s="353">
        <v>0</v>
      </c>
      <c r="BM182" s="353">
        <v>0</v>
      </c>
      <c r="BN182" s="353">
        <v>0</v>
      </c>
      <c r="BO182" s="353">
        <v>0</v>
      </c>
      <c r="BP182" s="353">
        <v>0</v>
      </c>
      <c r="BQ182" s="353">
        <v>0</v>
      </c>
      <c r="BT182" s="353">
        <v>0</v>
      </c>
      <c r="BU182" s="353">
        <v>0</v>
      </c>
      <c r="CA182" s="353">
        <v>0</v>
      </c>
      <c r="CB182" s="353">
        <v>280.47627331299998</v>
      </c>
      <c r="CC182" s="204" t="s">
        <v>498</v>
      </c>
      <c r="CD182" s="204" t="s">
        <v>300</v>
      </c>
      <c r="CE182" s="204" t="s">
        <v>301</v>
      </c>
      <c r="CF182" s="204" t="s">
        <v>1068</v>
      </c>
      <c r="CG182" s="204" t="s">
        <v>1256</v>
      </c>
      <c r="CH182" s="204" t="s">
        <v>1298</v>
      </c>
      <c r="CI182" s="204" t="s">
        <v>351</v>
      </c>
      <c r="CJ182" s="204" t="s">
        <v>678</v>
      </c>
      <c r="CK182" s="353">
        <v>-9999</v>
      </c>
      <c r="CM182" s="353">
        <v>-9999</v>
      </c>
      <c r="CO182" s="353">
        <v>-9999</v>
      </c>
      <c r="CS182" s="353">
        <v>-9999</v>
      </c>
      <c r="CT182" s="353">
        <v>-9999</v>
      </c>
      <c r="CV182" s="204" t="s">
        <v>1265</v>
      </c>
      <c r="CW182" s="353">
        <v>3.4283805060700001E-3</v>
      </c>
      <c r="CX182" s="204">
        <v>1517</v>
      </c>
      <c r="CY182" s="204">
        <v>0</v>
      </c>
      <c r="CZ182" s="204">
        <v>0</v>
      </c>
      <c r="DA182" s="204">
        <v>10</v>
      </c>
      <c r="DB182" s="353">
        <v>0</v>
      </c>
      <c r="DC182" s="353">
        <v>0</v>
      </c>
      <c r="DD182" s="204">
        <v>6</v>
      </c>
      <c r="DE182" s="353">
        <v>10474.529402100001</v>
      </c>
      <c r="DF182" s="353">
        <v>102799.462314</v>
      </c>
      <c r="DG182" s="353">
        <v>0.96529797319699995</v>
      </c>
      <c r="DH182" s="353">
        <v>4054.4469355800002</v>
      </c>
    </row>
    <row r="183" spans="1:112">
      <c r="A183" s="204">
        <v>1706</v>
      </c>
      <c r="B183" s="204">
        <v>2</v>
      </c>
      <c r="C183" s="204">
        <v>21155</v>
      </c>
      <c r="D183" s="204">
        <v>6</v>
      </c>
      <c r="E183" s="204">
        <v>1706</v>
      </c>
      <c r="F183" s="204">
        <v>0</v>
      </c>
      <c r="G183" s="204">
        <v>1706</v>
      </c>
      <c r="H183" s="204" t="s">
        <v>1003</v>
      </c>
      <c r="I183" s="354">
        <v>37462</v>
      </c>
      <c r="J183" s="204" t="s">
        <v>1003</v>
      </c>
      <c r="K183" s="204" t="s">
        <v>1559</v>
      </c>
      <c r="L183" s="204" t="s">
        <v>302</v>
      </c>
      <c r="M183" s="204" t="s">
        <v>1004</v>
      </c>
      <c r="N183" s="353">
        <v>50</v>
      </c>
      <c r="O183" s="204" t="s">
        <v>1562</v>
      </c>
      <c r="P183" s="204" t="s">
        <v>1005</v>
      </c>
      <c r="R183" s="204" t="s">
        <v>1248</v>
      </c>
      <c r="S183" s="353">
        <v>0</v>
      </c>
      <c r="T183" s="204" t="s">
        <v>989</v>
      </c>
      <c r="U183" s="204" t="s">
        <v>406</v>
      </c>
      <c r="Z183" s="204" t="s">
        <v>369</v>
      </c>
      <c r="AA183" s="204" t="s">
        <v>704</v>
      </c>
      <c r="AC183" s="204" t="s">
        <v>1274</v>
      </c>
      <c r="AD183" s="204" t="s">
        <v>1251</v>
      </c>
      <c r="AE183" s="353">
        <v>23293</v>
      </c>
      <c r="AF183" s="353">
        <v>0</v>
      </c>
      <c r="AG183" s="353">
        <v>0</v>
      </c>
      <c r="AH183" s="204" t="s">
        <v>298</v>
      </c>
      <c r="AI183" s="353">
        <v>1</v>
      </c>
      <c r="AJ183" s="353">
        <v>1</v>
      </c>
      <c r="AK183" s="353">
        <v>0</v>
      </c>
      <c r="AL183" s="353">
        <v>0</v>
      </c>
      <c r="AM183" s="353">
        <v>0</v>
      </c>
      <c r="AQ183" s="353">
        <v>0</v>
      </c>
      <c r="BC183" s="353">
        <v>0</v>
      </c>
      <c r="BD183" s="353">
        <v>0</v>
      </c>
      <c r="BF183" s="353">
        <v>0</v>
      </c>
      <c r="BG183" s="204" t="s">
        <v>1248</v>
      </c>
      <c r="BH183" s="204" t="s">
        <v>1248</v>
      </c>
      <c r="BJ183" s="204" t="s">
        <v>233</v>
      </c>
      <c r="BK183" s="353">
        <v>0</v>
      </c>
      <c r="BL183" s="353">
        <v>0</v>
      </c>
      <c r="BM183" s="353">
        <v>0</v>
      </c>
      <c r="BN183" s="353">
        <v>0</v>
      </c>
      <c r="BO183" s="353">
        <v>0</v>
      </c>
      <c r="BP183" s="353">
        <v>0</v>
      </c>
      <c r="BQ183" s="353">
        <v>0</v>
      </c>
      <c r="BT183" s="353">
        <v>0</v>
      </c>
      <c r="BU183" s="353">
        <v>9800</v>
      </c>
      <c r="BV183" s="204" t="s">
        <v>1248</v>
      </c>
      <c r="BW183" s="204" t="s">
        <v>1253</v>
      </c>
      <c r="BX183" s="204" t="s">
        <v>1248</v>
      </c>
      <c r="BY183" s="204" t="s">
        <v>1248</v>
      </c>
      <c r="CA183" s="353">
        <v>0</v>
      </c>
      <c r="CB183" s="353">
        <v>444.85984092299998</v>
      </c>
      <c r="CC183" s="204" t="s">
        <v>88</v>
      </c>
      <c r="CD183" s="204" t="s">
        <v>300</v>
      </c>
      <c r="CE183" s="204" t="s">
        <v>301</v>
      </c>
      <c r="CF183" s="204" t="s">
        <v>1068</v>
      </c>
      <c r="CG183" s="204" t="s">
        <v>1256</v>
      </c>
      <c r="CH183" s="204" t="s">
        <v>1298</v>
      </c>
      <c r="CI183" s="204" t="s">
        <v>351</v>
      </c>
      <c r="CJ183" s="204" t="s">
        <v>678</v>
      </c>
      <c r="CK183" s="353">
        <v>-9999</v>
      </c>
      <c r="CL183" s="204" t="s">
        <v>1263</v>
      </c>
      <c r="CM183" s="353">
        <v>-9999</v>
      </c>
      <c r="CN183" s="204" t="s">
        <v>1264</v>
      </c>
      <c r="CO183" s="353">
        <v>-9999</v>
      </c>
      <c r="CS183" s="353">
        <v>-9999</v>
      </c>
      <c r="CT183" s="353">
        <v>-9999</v>
      </c>
      <c r="CV183" s="204" t="s">
        <v>1265</v>
      </c>
      <c r="CW183" s="353">
        <v>3.4283805060700001E-3</v>
      </c>
      <c r="CX183" s="204">
        <v>1706</v>
      </c>
      <c r="CY183" s="204">
        <v>0</v>
      </c>
      <c r="CZ183" s="204">
        <v>0</v>
      </c>
      <c r="DA183" s="204">
        <v>10</v>
      </c>
      <c r="DB183" s="353">
        <v>0</v>
      </c>
      <c r="DC183" s="353">
        <v>0</v>
      </c>
      <c r="DD183" s="204">
        <v>0</v>
      </c>
      <c r="DE183" s="353">
        <v>8043541.66952</v>
      </c>
      <c r="DF183" s="353">
        <v>3072112201.1900001</v>
      </c>
      <c r="DG183" s="353">
        <v>0.96529797319699995</v>
      </c>
      <c r="DH183" s="353">
        <v>9449.4362179399996</v>
      </c>
    </row>
    <row r="184" spans="1:112">
      <c r="A184" s="204">
        <v>1707</v>
      </c>
      <c r="B184" s="204">
        <v>2</v>
      </c>
      <c r="C184" s="204">
        <v>21156</v>
      </c>
      <c r="D184" s="204">
        <v>7</v>
      </c>
      <c r="E184" s="204">
        <v>1707</v>
      </c>
      <c r="F184" s="204">
        <v>0</v>
      </c>
      <c r="G184" s="204">
        <v>1707</v>
      </c>
      <c r="H184" s="204" t="s">
        <v>1006</v>
      </c>
      <c r="I184" s="354">
        <v>37462</v>
      </c>
      <c r="J184" s="204" t="s">
        <v>1006</v>
      </c>
      <c r="K184" s="204" t="s">
        <v>1559</v>
      </c>
      <c r="L184" s="204" t="s">
        <v>302</v>
      </c>
      <c r="M184" s="204" t="s">
        <v>1004</v>
      </c>
      <c r="N184" s="353">
        <v>50</v>
      </c>
      <c r="O184" s="204" t="s">
        <v>1562</v>
      </c>
      <c r="P184" s="204" t="s">
        <v>1007</v>
      </c>
      <c r="R184" s="204" t="s">
        <v>1248</v>
      </c>
      <c r="S184" s="353">
        <v>0</v>
      </c>
      <c r="T184" s="204" t="s">
        <v>989</v>
      </c>
      <c r="U184" s="204" t="s">
        <v>406</v>
      </c>
      <c r="Z184" s="204" t="s">
        <v>369</v>
      </c>
      <c r="AA184" s="204" t="s">
        <v>704</v>
      </c>
      <c r="AC184" s="204" t="s">
        <v>1274</v>
      </c>
      <c r="AD184" s="204" t="s">
        <v>1251</v>
      </c>
      <c r="AE184" s="353">
        <v>23293</v>
      </c>
      <c r="AF184" s="353">
        <v>0</v>
      </c>
      <c r="AG184" s="353">
        <v>0</v>
      </c>
      <c r="AH184" s="204" t="s">
        <v>298</v>
      </c>
      <c r="AI184" s="353">
        <v>1</v>
      </c>
      <c r="AJ184" s="353">
        <v>1</v>
      </c>
      <c r="AK184" s="353">
        <v>0</v>
      </c>
      <c r="AL184" s="353">
        <v>0</v>
      </c>
      <c r="AM184" s="353">
        <v>0</v>
      </c>
      <c r="AQ184" s="353">
        <v>0</v>
      </c>
      <c r="BC184" s="353">
        <v>0</v>
      </c>
      <c r="BD184" s="353">
        <v>0</v>
      </c>
      <c r="BF184" s="353">
        <v>0</v>
      </c>
      <c r="BG184" s="204" t="s">
        <v>1248</v>
      </c>
      <c r="BH184" s="204" t="s">
        <v>1248</v>
      </c>
      <c r="BJ184" s="204" t="s">
        <v>233</v>
      </c>
      <c r="BK184" s="353">
        <v>0</v>
      </c>
      <c r="BL184" s="353">
        <v>0</v>
      </c>
      <c r="BM184" s="353">
        <v>0</v>
      </c>
      <c r="BN184" s="353">
        <v>0</v>
      </c>
      <c r="BO184" s="353">
        <v>0</v>
      </c>
      <c r="BP184" s="353">
        <v>0</v>
      </c>
      <c r="BQ184" s="353">
        <v>0</v>
      </c>
      <c r="BT184" s="353">
        <v>0</v>
      </c>
      <c r="BU184" s="353">
        <v>5400</v>
      </c>
      <c r="BX184" s="204" t="s">
        <v>1248</v>
      </c>
      <c r="BY184" s="204" t="s">
        <v>1248</v>
      </c>
      <c r="CA184" s="353">
        <v>0</v>
      </c>
      <c r="CB184" s="353">
        <v>322.01476803600002</v>
      </c>
      <c r="CC184" s="204" t="s">
        <v>88</v>
      </c>
      <c r="CD184" s="204" t="s">
        <v>300</v>
      </c>
      <c r="CE184" s="204" t="s">
        <v>301</v>
      </c>
      <c r="CF184" s="204" t="s">
        <v>1068</v>
      </c>
      <c r="CG184" s="204" t="s">
        <v>1256</v>
      </c>
      <c r="CH184" s="204" t="s">
        <v>1298</v>
      </c>
      <c r="CI184" s="204" t="s">
        <v>351</v>
      </c>
      <c r="CJ184" s="204" t="s">
        <v>678</v>
      </c>
      <c r="CK184" s="353">
        <v>-9999</v>
      </c>
      <c r="CL184" s="204" t="s">
        <v>1263</v>
      </c>
      <c r="CM184" s="353">
        <v>-9999</v>
      </c>
      <c r="CN184" s="204" t="s">
        <v>1264</v>
      </c>
      <c r="CO184" s="353">
        <v>-9999</v>
      </c>
      <c r="CS184" s="353">
        <v>-9999</v>
      </c>
      <c r="CT184" s="353">
        <v>-9999</v>
      </c>
      <c r="CV184" s="204" t="s">
        <v>1265</v>
      </c>
      <c r="CW184" s="353">
        <v>3.4283805060700001E-3</v>
      </c>
      <c r="CX184" s="204">
        <v>1707</v>
      </c>
      <c r="CY184" s="204">
        <v>0</v>
      </c>
      <c r="CZ184" s="204">
        <v>0</v>
      </c>
      <c r="DA184" s="204">
        <v>10</v>
      </c>
      <c r="DB184" s="353">
        <v>0</v>
      </c>
      <c r="DC184" s="353">
        <v>0</v>
      </c>
      <c r="DD184" s="204">
        <v>0</v>
      </c>
      <c r="DE184" s="353">
        <v>8043541.66952</v>
      </c>
      <c r="DF184" s="353">
        <v>3072112201.1900001</v>
      </c>
      <c r="DG184" s="353">
        <v>0.96529797319699995</v>
      </c>
      <c r="DH184" s="353">
        <v>6326.2552626300003</v>
      </c>
    </row>
    <row r="185" spans="1:112">
      <c r="A185" s="204">
        <v>1722</v>
      </c>
      <c r="B185" s="204">
        <v>2</v>
      </c>
      <c r="C185" s="204">
        <v>21553</v>
      </c>
      <c r="D185" s="204">
        <v>14</v>
      </c>
      <c r="E185" s="204">
        <v>1722</v>
      </c>
      <c r="F185" s="204">
        <v>0</v>
      </c>
      <c r="G185" s="204">
        <v>1722</v>
      </c>
      <c r="H185" s="204" t="s">
        <v>997</v>
      </c>
      <c r="I185" s="354">
        <v>37462</v>
      </c>
      <c r="J185" s="204" t="s">
        <v>997</v>
      </c>
      <c r="K185" s="204" t="s">
        <v>1559</v>
      </c>
      <c r="L185" s="204" t="s">
        <v>1271</v>
      </c>
      <c r="M185" s="204" t="s">
        <v>998</v>
      </c>
      <c r="N185" s="353">
        <v>100</v>
      </c>
      <c r="P185" s="204" t="s">
        <v>999</v>
      </c>
      <c r="R185" s="204" t="s">
        <v>1296</v>
      </c>
      <c r="S185" s="353">
        <v>0</v>
      </c>
      <c r="T185" s="204" t="s">
        <v>1000</v>
      </c>
      <c r="U185" s="204" t="s">
        <v>1001</v>
      </c>
      <c r="W185" s="204" t="s">
        <v>917</v>
      </c>
      <c r="Y185" s="204" t="s">
        <v>995</v>
      </c>
      <c r="Z185" s="204" t="s">
        <v>369</v>
      </c>
      <c r="AA185" s="204" t="s">
        <v>704</v>
      </c>
      <c r="AB185" s="204" t="s">
        <v>1563</v>
      </c>
      <c r="AC185" s="204" t="s">
        <v>1278</v>
      </c>
      <c r="AD185" s="204" t="s">
        <v>384</v>
      </c>
      <c r="AE185" s="353">
        <v>393956</v>
      </c>
      <c r="AF185" s="353">
        <v>316373</v>
      </c>
      <c r="AG185" s="353">
        <v>0</v>
      </c>
      <c r="AH185" s="204" t="s">
        <v>423</v>
      </c>
      <c r="AI185" s="353">
        <v>1</v>
      </c>
      <c r="AJ185" s="353">
        <v>1</v>
      </c>
      <c r="AK185" s="353">
        <v>8</v>
      </c>
      <c r="AL185" s="353">
        <v>5.5</v>
      </c>
      <c r="AM185" s="353">
        <v>19</v>
      </c>
      <c r="AN185" s="204" t="s">
        <v>186</v>
      </c>
      <c r="AO185" s="204" t="s">
        <v>1261</v>
      </c>
      <c r="AP185" s="204" t="s">
        <v>1271</v>
      </c>
      <c r="AQ185" s="353">
        <v>4</v>
      </c>
      <c r="AR185" s="204" t="s">
        <v>1248</v>
      </c>
      <c r="AS185" s="204" t="s">
        <v>1248</v>
      </c>
      <c r="AT185" s="204" t="s">
        <v>1282</v>
      </c>
      <c r="AU185" s="204" t="s">
        <v>1248</v>
      </c>
      <c r="AV185" s="204" t="s">
        <v>1002</v>
      </c>
      <c r="AW185" s="204" t="s">
        <v>1248</v>
      </c>
      <c r="AX185" s="204" t="s">
        <v>1253</v>
      </c>
      <c r="AY185" s="204" t="s">
        <v>1248</v>
      </c>
      <c r="AZ185" s="204" t="s">
        <v>1296</v>
      </c>
      <c r="BA185" s="204" t="s">
        <v>579</v>
      </c>
      <c r="BB185" s="204" t="s">
        <v>1002</v>
      </c>
      <c r="BC185" s="353">
        <v>9800</v>
      </c>
      <c r="BD185" s="353">
        <v>4583</v>
      </c>
      <c r="BE185" s="204" t="s">
        <v>723</v>
      </c>
      <c r="BF185" s="353">
        <v>0</v>
      </c>
      <c r="BG185" s="204" t="s">
        <v>1248</v>
      </c>
      <c r="BH185" s="204" t="s">
        <v>1248</v>
      </c>
      <c r="BI185" s="204" t="s">
        <v>723</v>
      </c>
      <c r="BK185" s="353">
        <v>0</v>
      </c>
      <c r="BL185" s="353">
        <v>0</v>
      </c>
      <c r="BM185" s="353">
        <v>0</v>
      </c>
      <c r="BN185" s="353">
        <v>0</v>
      </c>
      <c r="BO185" s="353">
        <v>0</v>
      </c>
      <c r="BP185" s="353">
        <v>0</v>
      </c>
      <c r="BQ185" s="353">
        <v>0</v>
      </c>
      <c r="BT185" s="353">
        <v>0</v>
      </c>
      <c r="BU185" s="353">
        <v>0</v>
      </c>
      <c r="CA185" s="353">
        <v>0</v>
      </c>
      <c r="CB185" s="353">
        <v>430.66198324800001</v>
      </c>
      <c r="CC185" s="204" t="s">
        <v>425</v>
      </c>
      <c r="CD185" s="204" t="s">
        <v>300</v>
      </c>
      <c r="CE185" s="204" t="s">
        <v>301</v>
      </c>
      <c r="CF185" s="204" t="s">
        <v>1068</v>
      </c>
      <c r="CG185" s="204" t="s">
        <v>1256</v>
      </c>
      <c r="CH185" s="204" t="s">
        <v>1298</v>
      </c>
      <c r="CI185" s="204" t="s">
        <v>351</v>
      </c>
      <c r="CJ185" s="204" t="s">
        <v>678</v>
      </c>
      <c r="CK185" s="353">
        <v>-9999</v>
      </c>
      <c r="CL185" s="204" t="s">
        <v>1263</v>
      </c>
      <c r="CM185" s="353">
        <v>-9999</v>
      </c>
      <c r="CN185" s="204" t="s">
        <v>1264</v>
      </c>
      <c r="CO185" s="353">
        <v>-9999</v>
      </c>
      <c r="CS185" s="353">
        <v>-9999</v>
      </c>
      <c r="CT185" s="353">
        <v>-9999</v>
      </c>
      <c r="CV185" s="204" t="s">
        <v>1265</v>
      </c>
      <c r="CW185" s="353">
        <v>3.4283805060700001E-3</v>
      </c>
      <c r="CX185" s="204">
        <v>1722</v>
      </c>
      <c r="CY185" s="204">
        <v>0</v>
      </c>
      <c r="CZ185" s="204">
        <v>0</v>
      </c>
      <c r="DA185" s="204">
        <v>10</v>
      </c>
      <c r="DB185" s="353">
        <v>0</v>
      </c>
      <c r="DC185" s="353">
        <v>0</v>
      </c>
      <c r="DD185" s="204">
        <v>0</v>
      </c>
      <c r="DE185" s="353">
        <v>8043541.66952</v>
      </c>
      <c r="DF185" s="353">
        <v>3072112201.1900001</v>
      </c>
      <c r="DG185" s="353">
        <v>0.96529797319699995</v>
      </c>
      <c r="DH185" s="353">
        <v>10075.727313400001</v>
      </c>
    </row>
    <row r="186" spans="1:112">
      <c r="A186" s="204">
        <v>1729</v>
      </c>
      <c r="B186" s="204">
        <v>1</v>
      </c>
      <c r="C186" s="204">
        <v>21643</v>
      </c>
      <c r="D186" s="204">
        <v>1</v>
      </c>
      <c r="E186" s="204">
        <v>1729</v>
      </c>
      <c r="F186" s="204">
        <v>0</v>
      </c>
      <c r="G186" s="204">
        <v>1729</v>
      </c>
      <c r="H186" s="204" t="s">
        <v>1083</v>
      </c>
      <c r="I186" s="354">
        <v>39216</v>
      </c>
      <c r="J186" s="204" t="s">
        <v>1083</v>
      </c>
      <c r="K186" s="204" t="s">
        <v>1564</v>
      </c>
      <c r="L186" s="204" t="s">
        <v>1294</v>
      </c>
      <c r="M186" s="204" t="s">
        <v>1084</v>
      </c>
      <c r="N186" s="353">
        <v>100</v>
      </c>
      <c r="P186" s="204" t="s">
        <v>1085</v>
      </c>
      <c r="R186" s="204" t="s">
        <v>1296</v>
      </c>
      <c r="S186" s="353">
        <v>0</v>
      </c>
      <c r="T186" s="204" t="s">
        <v>1086</v>
      </c>
      <c r="U186" s="204" t="s">
        <v>1087</v>
      </c>
      <c r="W186" s="204" t="s">
        <v>1088</v>
      </c>
      <c r="Y186" s="204" t="s">
        <v>1089</v>
      </c>
      <c r="Z186" s="204" t="s">
        <v>369</v>
      </c>
      <c r="AA186" s="204" t="s">
        <v>370</v>
      </c>
      <c r="AB186" s="204" t="s">
        <v>1565</v>
      </c>
      <c r="AC186" s="204" t="s">
        <v>1534</v>
      </c>
      <c r="AD186" s="204" t="s">
        <v>384</v>
      </c>
      <c r="AE186" s="353">
        <v>131669</v>
      </c>
      <c r="AF186" s="353">
        <v>120831</v>
      </c>
      <c r="AG186" s="353">
        <v>0</v>
      </c>
      <c r="AH186" s="204" t="s">
        <v>423</v>
      </c>
      <c r="AI186" s="353">
        <v>1</v>
      </c>
      <c r="AJ186" s="353">
        <v>1</v>
      </c>
      <c r="AK186" s="353">
        <v>3</v>
      </c>
      <c r="AL186" s="353">
        <v>2</v>
      </c>
      <c r="AM186" s="353">
        <v>8</v>
      </c>
      <c r="AN186" s="204" t="s">
        <v>186</v>
      </c>
      <c r="AO186" s="204" t="s">
        <v>1248</v>
      </c>
      <c r="AP186" s="204" t="s">
        <v>1271</v>
      </c>
      <c r="AQ186" s="353">
        <v>1</v>
      </c>
      <c r="AR186" s="204" t="s">
        <v>1248</v>
      </c>
      <c r="AS186" s="204" t="s">
        <v>1248</v>
      </c>
      <c r="AT186" s="204" t="s">
        <v>1248</v>
      </c>
      <c r="AU186" s="204" t="s">
        <v>1248</v>
      </c>
      <c r="AV186" s="204" t="s">
        <v>1090</v>
      </c>
      <c r="AW186" s="204" t="s">
        <v>1248</v>
      </c>
      <c r="AX186" s="204" t="s">
        <v>1253</v>
      </c>
      <c r="AY186" s="204" t="s">
        <v>1248</v>
      </c>
      <c r="AZ186" s="204" t="s">
        <v>1296</v>
      </c>
      <c r="BA186" s="204" t="s">
        <v>579</v>
      </c>
      <c r="BB186" s="204" t="s">
        <v>1566</v>
      </c>
      <c r="BC186" s="353">
        <v>0</v>
      </c>
      <c r="BD186" s="353">
        <v>1312</v>
      </c>
      <c r="BE186" s="204" t="s">
        <v>723</v>
      </c>
      <c r="BF186" s="353">
        <v>0</v>
      </c>
      <c r="BG186" s="204" t="s">
        <v>1248</v>
      </c>
      <c r="BH186" s="204" t="s">
        <v>1248</v>
      </c>
      <c r="BI186" s="204" t="s">
        <v>723</v>
      </c>
      <c r="BK186" s="353">
        <v>0</v>
      </c>
      <c r="BL186" s="353">
        <v>0</v>
      </c>
      <c r="BM186" s="353">
        <v>0</v>
      </c>
      <c r="BN186" s="353">
        <v>0</v>
      </c>
      <c r="BO186" s="353">
        <v>0</v>
      </c>
      <c r="BP186" s="353">
        <v>0</v>
      </c>
      <c r="BQ186" s="353">
        <v>0</v>
      </c>
      <c r="BT186" s="353">
        <v>0</v>
      </c>
      <c r="BU186" s="353">
        <v>0</v>
      </c>
      <c r="CA186" s="353">
        <v>0</v>
      </c>
      <c r="CB186" s="353">
        <v>161.99220046900001</v>
      </c>
      <c r="CC186" s="204" t="s">
        <v>247</v>
      </c>
      <c r="CD186" s="204" t="s">
        <v>300</v>
      </c>
      <c r="CE186" s="204" t="s">
        <v>301</v>
      </c>
      <c r="CF186" s="204" t="s">
        <v>1068</v>
      </c>
      <c r="CG186" s="204" t="s">
        <v>1256</v>
      </c>
      <c r="CH186" s="204" t="s">
        <v>1298</v>
      </c>
      <c r="CI186" s="204" t="s">
        <v>351</v>
      </c>
      <c r="CJ186" s="204" t="s">
        <v>678</v>
      </c>
      <c r="CK186" s="353">
        <v>-9999</v>
      </c>
      <c r="CM186" s="353">
        <v>-9999</v>
      </c>
      <c r="CO186" s="353">
        <v>-9999</v>
      </c>
      <c r="CS186" s="353">
        <v>-9999</v>
      </c>
      <c r="CT186" s="353">
        <v>-9999</v>
      </c>
      <c r="CV186" s="204" t="s">
        <v>1265</v>
      </c>
      <c r="CW186" s="353">
        <v>3.4283805060700001E-3</v>
      </c>
      <c r="CX186" s="204">
        <v>1729</v>
      </c>
      <c r="CY186" s="204">
        <v>0</v>
      </c>
      <c r="CZ186" s="204">
        <v>0</v>
      </c>
      <c r="DA186" s="204">
        <v>10</v>
      </c>
      <c r="DB186" s="353">
        <v>0</v>
      </c>
      <c r="DC186" s="353">
        <v>0</v>
      </c>
      <c r="DD186" s="204">
        <v>6</v>
      </c>
      <c r="DE186" s="353">
        <v>3734.15226811</v>
      </c>
      <c r="DF186" s="353">
        <v>36261.263254700003</v>
      </c>
      <c r="DG186" s="353">
        <v>0.96529797319699995</v>
      </c>
      <c r="DH186" s="353">
        <v>1338.08721158</v>
      </c>
    </row>
    <row r="187" spans="1:112">
      <c r="A187" s="204">
        <v>1731</v>
      </c>
      <c r="B187" s="204">
        <v>1</v>
      </c>
      <c r="C187" s="204">
        <v>21645</v>
      </c>
      <c r="D187" s="204">
        <v>1</v>
      </c>
      <c r="E187" s="204">
        <v>1731</v>
      </c>
      <c r="F187" s="204">
        <v>0</v>
      </c>
      <c r="G187" s="204">
        <v>1731</v>
      </c>
      <c r="H187" s="204" t="s">
        <v>1091</v>
      </c>
      <c r="I187" s="354">
        <v>39216</v>
      </c>
      <c r="J187" s="204" t="s">
        <v>1091</v>
      </c>
      <c r="K187" s="204" t="s">
        <v>1564</v>
      </c>
      <c r="L187" s="204" t="s">
        <v>1288</v>
      </c>
      <c r="M187" s="204" t="s">
        <v>1092</v>
      </c>
      <c r="N187" s="353">
        <v>100</v>
      </c>
      <c r="O187" s="204" t="s">
        <v>1567</v>
      </c>
      <c r="P187" s="204" t="s">
        <v>1093</v>
      </c>
      <c r="R187" s="204" t="s">
        <v>1296</v>
      </c>
      <c r="S187" s="353">
        <v>0</v>
      </c>
      <c r="T187" s="204" t="s">
        <v>1086</v>
      </c>
      <c r="U187" s="204" t="s">
        <v>1087</v>
      </c>
      <c r="W187" s="204" t="s">
        <v>1088</v>
      </c>
      <c r="Y187" s="204" t="s">
        <v>1094</v>
      </c>
      <c r="Z187" s="204" t="s">
        <v>369</v>
      </c>
      <c r="AA187" s="204" t="s">
        <v>370</v>
      </c>
      <c r="AB187" s="204" t="s">
        <v>1565</v>
      </c>
      <c r="AC187" s="204" t="s">
        <v>1534</v>
      </c>
      <c r="AD187" s="204" t="s">
        <v>384</v>
      </c>
      <c r="AE187" s="353">
        <v>106655</v>
      </c>
      <c r="AF187" s="353">
        <v>125345</v>
      </c>
      <c r="AG187" s="353">
        <v>0</v>
      </c>
      <c r="AH187" s="204" t="s">
        <v>423</v>
      </c>
      <c r="AI187" s="353">
        <v>1</v>
      </c>
      <c r="AJ187" s="353">
        <v>1</v>
      </c>
      <c r="AK187" s="353">
        <v>2</v>
      </c>
      <c r="AL187" s="353">
        <v>2</v>
      </c>
      <c r="AM187" s="353">
        <v>7</v>
      </c>
      <c r="AN187" s="204" t="s">
        <v>186</v>
      </c>
      <c r="AO187" s="204" t="s">
        <v>1248</v>
      </c>
      <c r="AP187" s="204" t="s">
        <v>1271</v>
      </c>
      <c r="AQ187" s="353">
        <v>1</v>
      </c>
      <c r="AR187" s="204" t="s">
        <v>1248</v>
      </c>
      <c r="AS187" s="204" t="s">
        <v>1248</v>
      </c>
      <c r="AT187" s="204" t="s">
        <v>1248</v>
      </c>
      <c r="AU187" s="204" t="s">
        <v>1248</v>
      </c>
      <c r="AV187" s="204" t="s">
        <v>1090</v>
      </c>
      <c r="AW187" s="204" t="s">
        <v>1248</v>
      </c>
      <c r="AX187" s="204" t="s">
        <v>1253</v>
      </c>
      <c r="AY187" s="204" t="s">
        <v>1248</v>
      </c>
      <c r="AZ187" s="204" t="s">
        <v>1296</v>
      </c>
      <c r="BA187" s="204" t="s">
        <v>579</v>
      </c>
      <c r="BB187" s="204" t="s">
        <v>1566</v>
      </c>
      <c r="BC187" s="353">
        <v>0</v>
      </c>
      <c r="BD187" s="353">
        <v>1011</v>
      </c>
      <c r="BE187" s="204" t="s">
        <v>723</v>
      </c>
      <c r="BF187" s="353">
        <v>0</v>
      </c>
      <c r="BG187" s="204" t="s">
        <v>1248</v>
      </c>
      <c r="BH187" s="204" t="s">
        <v>1248</v>
      </c>
      <c r="BI187" s="204" t="s">
        <v>723</v>
      </c>
      <c r="BK187" s="353">
        <v>0</v>
      </c>
      <c r="BL187" s="353">
        <v>0</v>
      </c>
      <c r="BM187" s="353">
        <v>0</v>
      </c>
      <c r="BN187" s="353">
        <v>0</v>
      </c>
      <c r="BO187" s="353">
        <v>0</v>
      </c>
      <c r="BP187" s="353">
        <v>0</v>
      </c>
      <c r="BQ187" s="353">
        <v>0</v>
      </c>
      <c r="BT187" s="353">
        <v>0</v>
      </c>
      <c r="BU187" s="353">
        <v>0</v>
      </c>
      <c r="CA187" s="353">
        <v>0</v>
      </c>
      <c r="CB187" s="353">
        <v>140.355600995</v>
      </c>
      <c r="CC187" s="204" t="s">
        <v>247</v>
      </c>
      <c r="CD187" s="204" t="s">
        <v>300</v>
      </c>
      <c r="CE187" s="204" t="s">
        <v>301</v>
      </c>
      <c r="CF187" s="204" t="s">
        <v>1068</v>
      </c>
      <c r="CG187" s="204" t="s">
        <v>1256</v>
      </c>
      <c r="CH187" s="204" t="s">
        <v>1298</v>
      </c>
      <c r="CI187" s="204" t="s">
        <v>351</v>
      </c>
      <c r="CJ187" s="204" t="s">
        <v>678</v>
      </c>
      <c r="CK187" s="353">
        <v>-9999</v>
      </c>
      <c r="CM187" s="353">
        <v>-9999</v>
      </c>
      <c r="CO187" s="353">
        <v>-9999</v>
      </c>
      <c r="CS187" s="353">
        <v>-9999</v>
      </c>
      <c r="CT187" s="353">
        <v>-9999</v>
      </c>
      <c r="CV187" s="204" t="s">
        <v>1265</v>
      </c>
      <c r="CW187" s="353">
        <v>3.4283805060700001E-3</v>
      </c>
      <c r="CX187" s="204">
        <v>1731</v>
      </c>
      <c r="CY187" s="204">
        <v>0</v>
      </c>
      <c r="CZ187" s="204">
        <v>0</v>
      </c>
      <c r="DA187" s="204">
        <v>10</v>
      </c>
      <c r="DB187" s="353">
        <v>0</v>
      </c>
      <c r="DC187" s="353">
        <v>0</v>
      </c>
      <c r="DD187" s="204">
        <v>6</v>
      </c>
      <c r="DE187" s="353">
        <v>3734.15226811</v>
      </c>
      <c r="DF187" s="353">
        <v>36261.263254700003</v>
      </c>
      <c r="DG187" s="353">
        <v>0.96529797319699995</v>
      </c>
      <c r="DH187" s="353">
        <v>1025.2836399</v>
      </c>
    </row>
    <row r="188" spans="1:112">
      <c r="A188" s="204">
        <v>1818</v>
      </c>
      <c r="B188" s="204">
        <v>2</v>
      </c>
      <c r="C188" s="204">
        <v>22056</v>
      </c>
      <c r="D188" s="204">
        <v>5</v>
      </c>
      <c r="E188" s="204">
        <v>1818</v>
      </c>
      <c r="F188" s="204">
        <v>0</v>
      </c>
      <c r="G188" s="204">
        <v>1818</v>
      </c>
      <c r="H188" s="204" t="s">
        <v>986</v>
      </c>
      <c r="I188" s="354">
        <v>37462</v>
      </c>
      <c r="J188" s="204" t="s">
        <v>986</v>
      </c>
      <c r="K188" s="204" t="s">
        <v>1559</v>
      </c>
      <c r="L188" s="204" t="s">
        <v>1247</v>
      </c>
      <c r="M188" s="204" t="s">
        <v>987</v>
      </c>
      <c r="N188" s="353">
        <v>100</v>
      </c>
      <c r="O188" s="204" t="s">
        <v>1568</v>
      </c>
      <c r="P188" s="204" t="s">
        <v>988</v>
      </c>
      <c r="R188" s="204" t="s">
        <v>1248</v>
      </c>
      <c r="S188" s="353">
        <v>0</v>
      </c>
      <c r="T188" s="204" t="s">
        <v>989</v>
      </c>
      <c r="U188" s="204" t="s">
        <v>406</v>
      </c>
      <c r="W188" s="204" t="s">
        <v>990</v>
      </c>
      <c r="Y188" s="204" t="s">
        <v>186</v>
      </c>
      <c r="Z188" s="204" t="s">
        <v>369</v>
      </c>
      <c r="AA188" s="204" t="s">
        <v>704</v>
      </c>
      <c r="AB188" s="204" t="s">
        <v>1569</v>
      </c>
      <c r="AC188" s="204" t="s">
        <v>1534</v>
      </c>
      <c r="AD188" s="204" t="s">
        <v>384</v>
      </c>
      <c r="AE188" s="353">
        <v>171270</v>
      </c>
      <c r="AF188" s="353">
        <v>203532</v>
      </c>
      <c r="AG188" s="353">
        <v>0</v>
      </c>
      <c r="AH188" s="204" t="s">
        <v>423</v>
      </c>
      <c r="AI188" s="353">
        <v>1</v>
      </c>
      <c r="AJ188" s="353">
        <v>1</v>
      </c>
      <c r="AK188" s="353">
        <v>2</v>
      </c>
      <c r="AL188" s="353">
        <v>2.5</v>
      </c>
      <c r="AM188" s="353">
        <v>6</v>
      </c>
      <c r="AN188" s="204" t="s">
        <v>186</v>
      </c>
      <c r="AO188" s="204" t="s">
        <v>1261</v>
      </c>
      <c r="AP188" s="204" t="s">
        <v>1248</v>
      </c>
      <c r="AQ188" s="353">
        <v>1</v>
      </c>
      <c r="AR188" s="204" t="s">
        <v>1248</v>
      </c>
      <c r="AS188" s="204" t="s">
        <v>1248</v>
      </c>
      <c r="AT188" s="204" t="s">
        <v>1282</v>
      </c>
      <c r="AU188" s="204" t="s">
        <v>1248</v>
      </c>
      <c r="AV188" s="204" t="s">
        <v>991</v>
      </c>
      <c r="AW188" s="204" t="s">
        <v>1248</v>
      </c>
      <c r="AX188" s="204" t="s">
        <v>1253</v>
      </c>
      <c r="AY188" s="204" t="s">
        <v>1248</v>
      </c>
      <c r="AZ188" s="204" t="s">
        <v>1296</v>
      </c>
      <c r="BA188" s="204" t="s">
        <v>1248</v>
      </c>
      <c r="BB188" s="204" t="s">
        <v>991</v>
      </c>
      <c r="BC188" s="353">
        <v>1200</v>
      </c>
      <c r="BD188" s="353">
        <v>1760</v>
      </c>
      <c r="BE188" s="204" t="s">
        <v>723</v>
      </c>
      <c r="BF188" s="353">
        <v>0</v>
      </c>
      <c r="BG188" s="204" t="s">
        <v>1248</v>
      </c>
      <c r="BH188" s="204" t="s">
        <v>1296</v>
      </c>
      <c r="BI188" s="204" t="s">
        <v>991</v>
      </c>
      <c r="BK188" s="353">
        <v>0</v>
      </c>
      <c r="BL188" s="353">
        <v>0</v>
      </c>
      <c r="BM188" s="353">
        <v>0</v>
      </c>
      <c r="BN188" s="353">
        <v>0</v>
      </c>
      <c r="BO188" s="353">
        <v>0</v>
      </c>
      <c r="BP188" s="353">
        <v>0</v>
      </c>
      <c r="BQ188" s="353">
        <v>0</v>
      </c>
      <c r="BT188" s="353">
        <v>0</v>
      </c>
      <c r="BU188" s="353">
        <v>0</v>
      </c>
      <c r="CA188" s="353">
        <v>0</v>
      </c>
      <c r="CB188" s="353">
        <v>182.64568881100001</v>
      </c>
      <c r="CC188" s="204" t="s">
        <v>247</v>
      </c>
      <c r="CD188" s="204" t="s">
        <v>300</v>
      </c>
      <c r="CE188" s="204" t="s">
        <v>301</v>
      </c>
      <c r="CF188" s="204" t="s">
        <v>1068</v>
      </c>
      <c r="CG188" s="204" t="s">
        <v>1256</v>
      </c>
      <c r="CH188" s="204" t="s">
        <v>1298</v>
      </c>
      <c r="CI188" s="204" t="s">
        <v>351</v>
      </c>
      <c r="CJ188" s="204" t="s">
        <v>678</v>
      </c>
      <c r="CK188" s="353">
        <v>-9999</v>
      </c>
      <c r="CL188" s="204" t="s">
        <v>1263</v>
      </c>
      <c r="CM188" s="353">
        <v>-9999</v>
      </c>
      <c r="CN188" s="204" t="s">
        <v>1264</v>
      </c>
      <c r="CO188" s="353">
        <v>-9999</v>
      </c>
      <c r="CS188" s="353">
        <v>-9999</v>
      </c>
      <c r="CT188" s="353">
        <v>-9999</v>
      </c>
      <c r="CV188" s="204" t="s">
        <v>1265</v>
      </c>
      <c r="CW188" s="353">
        <v>3.4283805060700001E-3</v>
      </c>
      <c r="CX188" s="204">
        <v>1818</v>
      </c>
      <c r="CY188" s="204">
        <v>0</v>
      </c>
      <c r="CZ188" s="204">
        <v>0</v>
      </c>
      <c r="DA188" s="204">
        <v>10</v>
      </c>
      <c r="DB188" s="353">
        <v>0</v>
      </c>
      <c r="DC188" s="353">
        <v>0</v>
      </c>
      <c r="DD188" s="204">
        <v>0</v>
      </c>
      <c r="DE188" s="353">
        <v>8043541.66952</v>
      </c>
      <c r="DF188" s="353">
        <v>3072112201.1900001</v>
      </c>
      <c r="DG188" s="353">
        <v>0.96529797319699995</v>
      </c>
      <c r="DH188" s="353">
        <v>1158.9250165599999</v>
      </c>
    </row>
    <row r="189" spans="1:112">
      <c r="A189" s="204">
        <v>1819</v>
      </c>
      <c r="B189" s="204">
        <v>2</v>
      </c>
      <c r="C189" s="204">
        <v>22057</v>
      </c>
      <c r="D189" s="204">
        <v>5</v>
      </c>
      <c r="E189" s="204">
        <v>1819</v>
      </c>
      <c r="F189" s="204">
        <v>0</v>
      </c>
      <c r="G189" s="204">
        <v>1819</v>
      </c>
      <c r="H189" s="204" t="s">
        <v>992</v>
      </c>
      <c r="I189" s="354">
        <v>37462</v>
      </c>
      <c r="J189" s="204" t="s">
        <v>992</v>
      </c>
      <c r="K189" s="204" t="s">
        <v>1559</v>
      </c>
      <c r="L189" s="204" t="s">
        <v>1288</v>
      </c>
      <c r="M189" s="204" t="s">
        <v>993</v>
      </c>
      <c r="N189" s="353">
        <v>100</v>
      </c>
      <c r="P189" s="204" t="s">
        <v>994</v>
      </c>
      <c r="R189" s="204" t="s">
        <v>1248</v>
      </c>
      <c r="S189" s="353">
        <v>0</v>
      </c>
      <c r="T189" s="204" t="s">
        <v>989</v>
      </c>
      <c r="U189" s="204" t="s">
        <v>406</v>
      </c>
      <c r="W189" s="204" t="s">
        <v>990</v>
      </c>
      <c r="Y189" s="204" t="s">
        <v>995</v>
      </c>
      <c r="Z189" s="204" t="s">
        <v>369</v>
      </c>
      <c r="AA189" s="204" t="s">
        <v>704</v>
      </c>
      <c r="AB189" s="204" t="s">
        <v>1569</v>
      </c>
      <c r="AC189" s="204" t="s">
        <v>1534</v>
      </c>
      <c r="AD189" s="204" t="s">
        <v>384</v>
      </c>
      <c r="AE189" s="353">
        <v>347088</v>
      </c>
      <c r="AF189" s="353">
        <v>202912</v>
      </c>
      <c r="AG189" s="353">
        <v>0</v>
      </c>
      <c r="AH189" s="204" t="s">
        <v>423</v>
      </c>
      <c r="AI189" s="353">
        <v>1</v>
      </c>
      <c r="AJ189" s="353">
        <v>1</v>
      </c>
      <c r="AK189" s="353">
        <v>2</v>
      </c>
      <c r="AL189" s="353">
        <v>2.5</v>
      </c>
      <c r="AM189" s="353">
        <v>8</v>
      </c>
      <c r="AN189" s="204" t="s">
        <v>186</v>
      </c>
      <c r="AO189" s="204" t="s">
        <v>1261</v>
      </c>
      <c r="AP189" s="204" t="s">
        <v>1248</v>
      </c>
      <c r="AQ189" s="353">
        <v>1</v>
      </c>
      <c r="AR189" s="204" t="s">
        <v>1296</v>
      </c>
      <c r="AS189" s="204" t="s">
        <v>1248</v>
      </c>
      <c r="AT189" s="204" t="s">
        <v>1282</v>
      </c>
      <c r="AU189" s="204" t="s">
        <v>1248</v>
      </c>
      <c r="AV189" s="204" t="s">
        <v>996</v>
      </c>
      <c r="AW189" s="204" t="s">
        <v>1248</v>
      </c>
      <c r="AX189" s="204" t="s">
        <v>1253</v>
      </c>
      <c r="AY189" s="204" t="s">
        <v>1248</v>
      </c>
      <c r="AZ189" s="204" t="s">
        <v>1296</v>
      </c>
      <c r="BA189" s="204" t="s">
        <v>1248</v>
      </c>
      <c r="BB189" s="204" t="s">
        <v>991</v>
      </c>
      <c r="BC189" s="353">
        <v>1200</v>
      </c>
      <c r="BD189" s="353">
        <v>2308</v>
      </c>
      <c r="BE189" s="204" t="s">
        <v>723</v>
      </c>
      <c r="BF189" s="353">
        <v>0</v>
      </c>
      <c r="BG189" s="204" t="s">
        <v>1248</v>
      </c>
      <c r="BH189" s="204" t="s">
        <v>1296</v>
      </c>
      <c r="BI189" s="204" t="s">
        <v>991</v>
      </c>
      <c r="BK189" s="353">
        <v>0</v>
      </c>
      <c r="BL189" s="353">
        <v>0</v>
      </c>
      <c r="BM189" s="353">
        <v>0</v>
      </c>
      <c r="BN189" s="353">
        <v>0</v>
      </c>
      <c r="BO189" s="353">
        <v>0</v>
      </c>
      <c r="BP189" s="353">
        <v>0</v>
      </c>
      <c r="BQ189" s="353">
        <v>0</v>
      </c>
      <c r="BT189" s="353">
        <v>0</v>
      </c>
      <c r="BU189" s="353">
        <v>0</v>
      </c>
      <c r="CA189" s="353">
        <v>0</v>
      </c>
      <c r="CB189" s="353">
        <v>182.64350102399999</v>
      </c>
      <c r="CC189" s="204" t="s">
        <v>247</v>
      </c>
      <c r="CD189" s="204" t="s">
        <v>300</v>
      </c>
      <c r="CE189" s="204" t="s">
        <v>301</v>
      </c>
      <c r="CF189" s="204" t="s">
        <v>1068</v>
      </c>
      <c r="CG189" s="204" t="s">
        <v>1256</v>
      </c>
      <c r="CH189" s="204" t="s">
        <v>1298</v>
      </c>
      <c r="CI189" s="204" t="s">
        <v>351</v>
      </c>
      <c r="CJ189" s="204" t="s">
        <v>678</v>
      </c>
      <c r="CK189" s="353">
        <v>-9999</v>
      </c>
      <c r="CL189" s="204" t="s">
        <v>1263</v>
      </c>
      <c r="CM189" s="353">
        <v>-9999</v>
      </c>
      <c r="CN189" s="204" t="s">
        <v>1264</v>
      </c>
      <c r="CO189" s="353">
        <v>-9999</v>
      </c>
      <c r="CS189" s="353">
        <v>-9999</v>
      </c>
      <c r="CT189" s="353">
        <v>-9999</v>
      </c>
      <c r="CV189" s="204" t="s">
        <v>1265</v>
      </c>
      <c r="CW189" s="353">
        <v>3.4283805060700001E-3</v>
      </c>
      <c r="CX189" s="204">
        <v>1819</v>
      </c>
      <c r="CY189" s="204">
        <v>0</v>
      </c>
      <c r="CZ189" s="204">
        <v>0</v>
      </c>
      <c r="DA189" s="204">
        <v>10</v>
      </c>
      <c r="DB189" s="353">
        <v>0</v>
      </c>
      <c r="DC189" s="353">
        <v>0</v>
      </c>
      <c r="DD189" s="204">
        <v>0</v>
      </c>
      <c r="DE189" s="353">
        <v>8043541.66952</v>
      </c>
      <c r="DF189" s="353">
        <v>3072112201.1900001</v>
      </c>
      <c r="DG189" s="353">
        <v>0.96529797319699995</v>
      </c>
      <c r="DH189" s="353">
        <v>1267.6122695399999</v>
      </c>
    </row>
    <row r="190" spans="1:112">
      <c r="A190" s="204">
        <v>2268</v>
      </c>
      <c r="B190" s="204">
        <v>1</v>
      </c>
      <c r="C190" s="204">
        <v>22908</v>
      </c>
      <c r="D190" s="204">
        <v>0</v>
      </c>
      <c r="E190" s="204">
        <v>2268</v>
      </c>
      <c r="F190" s="204">
        <v>1</v>
      </c>
      <c r="G190" s="204">
        <v>2268</v>
      </c>
      <c r="H190" s="204" t="s">
        <v>724</v>
      </c>
      <c r="J190" s="204" t="s">
        <v>724</v>
      </c>
      <c r="K190" s="204" t="s">
        <v>1564</v>
      </c>
      <c r="L190" s="204" t="s">
        <v>1266</v>
      </c>
      <c r="M190" s="204" t="s">
        <v>725</v>
      </c>
      <c r="N190" s="353">
        <v>100</v>
      </c>
      <c r="O190" s="204" t="s">
        <v>1570</v>
      </c>
      <c r="P190" s="204" t="s">
        <v>726</v>
      </c>
      <c r="R190" s="204" t="s">
        <v>1248</v>
      </c>
      <c r="S190" s="353">
        <v>0</v>
      </c>
      <c r="T190" s="204" t="s">
        <v>727</v>
      </c>
      <c r="U190" s="204" t="s">
        <v>728</v>
      </c>
      <c r="W190" s="204" t="s">
        <v>729</v>
      </c>
      <c r="Z190" s="204" t="s">
        <v>369</v>
      </c>
      <c r="AA190" s="204" t="s">
        <v>370</v>
      </c>
      <c r="AC190" s="204" t="s">
        <v>1534</v>
      </c>
      <c r="AD190" s="204" t="s">
        <v>384</v>
      </c>
      <c r="AE190" s="353">
        <v>61237</v>
      </c>
      <c r="AF190" s="353">
        <v>107763</v>
      </c>
      <c r="AG190" s="353">
        <v>0</v>
      </c>
      <c r="AH190" s="204" t="s">
        <v>423</v>
      </c>
      <c r="AI190" s="353">
        <v>1</v>
      </c>
      <c r="AJ190" s="353">
        <v>1</v>
      </c>
      <c r="AK190" s="353">
        <v>1</v>
      </c>
      <c r="AL190" s="353">
        <v>1</v>
      </c>
      <c r="AM190" s="353">
        <v>3</v>
      </c>
      <c r="AN190" s="204" t="s">
        <v>186</v>
      </c>
      <c r="AO190" s="204" t="s">
        <v>1248</v>
      </c>
      <c r="AP190" s="204" t="s">
        <v>1271</v>
      </c>
      <c r="AQ190" s="353">
        <v>1</v>
      </c>
      <c r="AR190" s="204" t="s">
        <v>1248</v>
      </c>
      <c r="AS190" s="204" t="s">
        <v>1248</v>
      </c>
      <c r="AT190" s="204" t="s">
        <v>1282</v>
      </c>
      <c r="AU190" s="204" t="s">
        <v>1248</v>
      </c>
      <c r="AV190" s="204" t="s">
        <v>730</v>
      </c>
      <c r="AW190" s="204" t="s">
        <v>1248</v>
      </c>
      <c r="AX190" s="204" t="s">
        <v>1253</v>
      </c>
      <c r="AY190" s="204" t="s">
        <v>1248</v>
      </c>
      <c r="AZ190" s="204" t="s">
        <v>1296</v>
      </c>
      <c r="BA190" s="204" t="s">
        <v>1248</v>
      </c>
      <c r="BB190" s="204" t="s">
        <v>1530</v>
      </c>
      <c r="BC190" s="353">
        <v>2141</v>
      </c>
      <c r="BD190" s="353">
        <v>732</v>
      </c>
      <c r="BE190" s="204" t="s">
        <v>723</v>
      </c>
      <c r="BF190" s="353">
        <v>0</v>
      </c>
      <c r="BG190" s="204" t="s">
        <v>1248</v>
      </c>
      <c r="BH190" s="204" t="s">
        <v>1248</v>
      </c>
      <c r="BI190" s="204" t="s">
        <v>723</v>
      </c>
      <c r="BK190" s="353">
        <v>0</v>
      </c>
      <c r="BL190" s="353">
        <v>0</v>
      </c>
      <c r="BM190" s="353">
        <v>0</v>
      </c>
      <c r="BN190" s="353">
        <v>0</v>
      </c>
      <c r="BO190" s="353">
        <v>0</v>
      </c>
      <c r="BP190" s="353">
        <v>0</v>
      </c>
      <c r="BQ190" s="353">
        <v>0</v>
      </c>
      <c r="BT190" s="353">
        <v>0</v>
      </c>
      <c r="BU190" s="353">
        <v>0</v>
      </c>
      <c r="CA190" s="353">
        <v>0</v>
      </c>
      <c r="CB190" s="353">
        <v>123.65904281500001</v>
      </c>
      <c r="CC190" s="204" t="s">
        <v>247</v>
      </c>
      <c r="CD190" s="204" t="s">
        <v>300</v>
      </c>
      <c r="CE190" s="204" t="s">
        <v>301</v>
      </c>
      <c r="CF190" s="204" t="s">
        <v>1068</v>
      </c>
      <c r="CG190" s="204" t="s">
        <v>1256</v>
      </c>
      <c r="CH190" s="204" t="s">
        <v>1298</v>
      </c>
      <c r="CI190" s="204" t="s">
        <v>351</v>
      </c>
      <c r="CJ190" s="204" t="s">
        <v>678</v>
      </c>
      <c r="CK190" s="353">
        <v>-9999</v>
      </c>
      <c r="CM190" s="353">
        <v>-9999</v>
      </c>
      <c r="CO190" s="353">
        <v>-9999</v>
      </c>
      <c r="CS190" s="353">
        <v>-9999</v>
      </c>
      <c r="CT190" s="353">
        <v>-9999</v>
      </c>
      <c r="CV190" s="204" t="s">
        <v>1265</v>
      </c>
      <c r="CW190" s="353">
        <v>3.4283805060700001E-3</v>
      </c>
      <c r="CX190" s="204">
        <v>2268</v>
      </c>
      <c r="CY190" s="204">
        <v>4349</v>
      </c>
      <c r="CZ190" s="204">
        <v>362</v>
      </c>
      <c r="DA190" s="204">
        <v>6</v>
      </c>
      <c r="DB190" s="353">
        <v>1.3769999999899999E-2</v>
      </c>
      <c r="DC190" s="353">
        <v>7.3305000030199998E-7</v>
      </c>
      <c r="DD190" s="204">
        <v>10</v>
      </c>
      <c r="DE190" s="353">
        <v>0</v>
      </c>
      <c r="DF190" s="353">
        <v>0</v>
      </c>
      <c r="DG190" s="353">
        <v>0.96529797319699995</v>
      </c>
      <c r="DH190" s="353">
        <v>771.22204119100002</v>
      </c>
    </row>
    <row r="191" spans="1:112">
      <c r="A191" s="204">
        <v>2783</v>
      </c>
      <c r="B191" s="204">
        <v>1</v>
      </c>
      <c r="C191" s="204">
        <v>23583</v>
      </c>
      <c r="D191" s="204">
        <v>0</v>
      </c>
      <c r="E191" s="204">
        <v>2783</v>
      </c>
      <c r="F191" s="204">
        <v>1</v>
      </c>
      <c r="G191" s="204">
        <v>2783</v>
      </c>
      <c r="H191" s="204" t="s">
        <v>884</v>
      </c>
      <c r="I191" s="354">
        <v>37462</v>
      </c>
      <c r="J191" s="204" t="s">
        <v>884</v>
      </c>
      <c r="K191" s="204" t="s">
        <v>1571</v>
      </c>
      <c r="L191" s="204" t="s">
        <v>1294</v>
      </c>
      <c r="M191" s="204" t="s">
        <v>885</v>
      </c>
      <c r="N191" s="353">
        <v>100</v>
      </c>
      <c r="P191" s="204" t="s">
        <v>886</v>
      </c>
      <c r="R191" s="204" t="s">
        <v>1248</v>
      </c>
      <c r="S191" s="353">
        <v>0</v>
      </c>
      <c r="T191" s="204" t="s">
        <v>745</v>
      </c>
      <c r="U191" s="204" t="s">
        <v>294</v>
      </c>
      <c r="W191" s="204" t="s">
        <v>887</v>
      </c>
      <c r="X191" s="204" t="s">
        <v>1572</v>
      </c>
      <c r="Z191" s="204" t="s">
        <v>369</v>
      </c>
      <c r="AA191" s="204" t="s">
        <v>704</v>
      </c>
      <c r="AB191" s="204" t="s">
        <v>1573</v>
      </c>
      <c r="AC191" s="204" t="s">
        <v>1278</v>
      </c>
      <c r="AD191" s="204" t="s">
        <v>384</v>
      </c>
      <c r="AE191" s="353">
        <v>40000</v>
      </c>
      <c r="AF191" s="353">
        <v>192000</v>
      </c>
      <c r="AG191" s="353">
        <v>0</v>
      </c>
      <c r="AH191" s="204" t="s">
        <v>423</v>
      </c>
      <c r="AI191" s="353">
        <v>1</v>
      </c>
      <c r="AJ191" s="353">
        <v>1</v>
      </c>
      <c r="AK191" s="353">
        <v>3</v>
      </c>
      <c r="AL191" s="353">
        <v>2</v>
      </c>
      <c r="AM191" s="353">
        <v>9</v>
      </c>
      <c r="AN191" s="204" t="s">
        <v>186</v>
      </c>
      <c r="AO191" s="204" t="s">
        <v>1261</v>
      </c>
      <c r="AP191" s="204" t="s">
        <v>1248</v>
      </c>
      <c r="AQ191" s="353">
        <v>2</v>
      </c>
      <c r="AR191" s="204" t="s">
        <v>1296</v>
      </c>
      <c r="AS191" s="204" t="s">
        <v>1248</v>
      </c>
      <c r="AT191" s="204" t="s">
        <v>1248</v>
      </c>
      <c r="AU191" s="204" t="s">
        <v>1248</v>
      </c>
      <c r="AV191" s="204" t="s">
        <v>888</v>
      </c>
      <c r="AW191" s="204" t="s">
        <v>1248</v>
      </c>
      <c r="AX191" s="204" t="s">
        <v>1253</v>
      </c>
      <c r="AY191" s="204" t="s">
        <v>1248</v>
      </c>
      <c r="AZ191" s="204" t="s">
        <v>1248</v>
      </c>
      <c r="BA191" s="204" t="s">
        <v>1248</v>
      </c>
      <c r="BB191" s="204" t="s">
        <v>802</v>
      </c>
      <c r="BC191" s="353">
        <v>5000</v>
      </c>
      <c r="BD191" s="353">
        <v>1542</v>
      </c>
      <c r="BE191" s="204" t="s">
        <v>723</v>
      </c>
      <c r="BF191" s="353">
        <v>0</v>
      </c>
      <c r="BG191" s="204" t="s">
        <v>1248</v>
      </c>
      <c r="BH191" s="204" t="s">
        <v>1248</v>
      </c>
      <c r="BI191" s="204" t="s">
        <v>723</v>
      </c>
      <c r="BK191" s="353">
        <v>0</v>
      </c>
      <c r="BL191" s="353">
        <v>0</v>
      </c>
      <c r="BM191" s="353">
        <v>0</v>
      </c>
      <c r="BN191" s="353">
        <v>0</v>
      </c>
      <c r="BO191" s="353">
        <v>0</v>
      </c>
      <c r="BP191" s="353">
        <v>0</v>
      </c>
      <c r="BQ191" s="353">
        <v>0</v>
      </c>
      <c r="BT191" s="353">
        <v>0</v>
      </c>
      <c r="BU191" s="353">
        <v>0</v>
      </c>
      <c r="CA191" s="353">
        <v>0</v>
      </c>
      <c r="CB191" s="353">
        <v>297.24741585999999</v>
      </c>
      <c r="CC191" s="204" t="s">
        <v>425</v>
      </c>
      <c r="CD191" s="204" t="s">
        <v>300</v>
      </c>
      <c r="CE191" s="204" t="s">
        <v>301</v>
      </c>
      <c r="CF191" s="204" t="s">
        <v>1068</v>
      </c>
      <c r="CG191" s="204" t="s">
        <v>1256</v>
      </c>
      <c r="CH191" s="204" t="s">
        <v>1298</v>
      </c>
      <c r="CI191" s="204" t="s">
        <v>351</v>
      </c>
      <c r="CJ191" s="204" t="s">
        <v>678</v>
      </c>
      <c r="CK191" s="353">
        <v>-9999</v>
      </c>
      <c r="CM191" s="353">
        <v>-9999</v>
      </c>
      <c r="CO191" s="353">
        <v>-9999</v>
      </c>
      <c r="CS191" s="353">
        <v>-9999</v>
      </c>
      <c r="CT191" s="353">
        <v>-9999</v>
      </c>
      <c r="CV191" s="204" t="s">
        <v>1265</v>
      </c>
      <c r="CW191" s="353">
        <v>3.4283805060700001E-3</v>
      </c>
      <c r="CX191" s="204">
        <v>2783</v>
      </c>
      <c r="CY191" s="204">
        <v>3922</v>
      </c>
      <c r="CZ191" s="204">
        <v>8712</v>
      </c>
      <c r="DA191" s="204">
        <v>6</v>
      </c>
      <c r="DB191" s="353">
        <v>6.7320000002299998E-2</v>
      </c>
      <c r="DC191" s="353">
        <v>1.76276250001E-5</v>
      </c>
      <c r="DD191" s="204">
        <v>10</v>
      </c>
      <c r="DE191" s="353">
        <v>0</v>
      </c>
      <c r="DF191" s="353">
        <v>0</v>
      </c>
      <c r="DG191" s="353">
        <v>0.96529797319699995</v>
      </c>
      <c r="DH191" s="353">
        <v>4891.0756748200001</v>
      </c>
    </row>
    <row r="192" spans="1:112">
      <c r="A192" s="204">
        <v>2784</v>
      </c>
      <c r="B192" s="204">
        <v>1</v>
      </c>
      <c r="C192" s="204">
        <v>23584</v>
      </c>
      <c r="D192" s="204">
        <v>0</v>
      </c>
      <c r="E192" s="204">
        <v>2784</v>
      </c>
      <c r="F192" s="204">
        <v>1</v>
      </c>
      <c r="G192" s="204">
        <v>2784</v>
      </c>
      <c r="H192" s="204" t="s">
        <v>889</v>
      </c>
      <c r="I192" s="354">
        <v>37462</v>
      </c>
      <c r="J192" s="204" t="s">
        <v>889</v>
      </c>
      <c r="K192" s="204" t="s">
        <v>1571</v>
      </c>
      <c r="L192" s="204" t="s">
        <v>1288</v>
      </c>
      <c r="M192" s="204" t="s">
        <v>890</v>
      </c>
      <c r="N192" s="353">
        <v>100</v>
      </c>
      <c r="P192" s="204" t="s">
        <v>886</v>
      </c>
      <c r="R192" s="204" t="s">
        <v>1248</v>
      </c>
      <c r="S192" s="353">
        <v>0</v>
      </c>
      <c r="T192" s="204" t="s">
        <v>745</v>
      </c>
      <c r="U192" s="204" t="s">
        <v>294</v>
      </c>
      <c r="W192" s="204" t="s">
        <v>891</v>
      </c>
      <c r="Z192" s="204" t="s">
        <v>369</v>
      </c>
      <c r="AA192" s="204" t="s">
        <v>704</v>
      </c>
      <c r="AB192" s="204" t="s">
        <v>1573</v>
      </c>
      <c r="AC192" s="204" t="s">
        <v>1278</v>
      </c>
      <c r="AD192" s="204" t="s">
        <v>384</v>
      </c>
      <c r="AE192" s="353">
        <v>25302</v>
      </c>
      <c r="AF192" s="353">
        <v>66275</v>
      </c>
      <c r="AG192" s="353">
        <v>0</v>
      </c>
      <c r="AH192" s="204" t="s">
        <v>423</v>
      </c>
      <c r="AI192" s="353">
        <v>1</v>
      </c>
      <c r="AJ192" s="353">
        <v>1</v>
      </c>
      <c r="AK192" s="353">
        <v>2</v>
      </c>
      <c r="AL192" s="353">
        <v>2</v>
      </c>
      <c r="AM192" s="353">
        <v>6</v>
      </c>
      <c r="AN192" s="204" t="s">
        <v>186</v>
      </c>
      <c r="AO192" s="204" t="s">
        <v>1261</v>
      </c>
      <c r="AP192" s="204" t="s">
        <v>1248</v>
      </c>
      <c r="AQ192" s="353">
        <v>2</v>
      </c>
      <c r="AR192" s="204" t="s">
        <v>1248</v>
      </c>
      <c r="AS192" s="204" t="s">
        <v>1248</v>
      </c>
      <c r="AT192" s="204" t="s">
        <v>1248</v>
      </c>
      <c r="AU192" s="204" t="s">
        <v>1248</v>
      </c>
      <c r="AV192" s="204" t="s">
        <v>883</v>
      </c>
      <c r="AW192" s="204" t="s">
        <v>1248</v>
      </c>
      <c r="AX192" s="204" t="s">
        <v>1253</v>
      </c>
      <c r="AY192" s="204" t="s">
        <v>1248</v>
      </c>
      <c r="AZ192" s="204" t="s">
        <v>1248</v>
      </c>
      <c r="BA192" s="204" t="s">
        <v>1248</v>
      </c>
      <c r="BB192" s="204" t="s">
        <v>883</v>
      </c>
      <c r="BC192" s="353">
        <v>5000</v>
      </c>
      <c r="BD192" s="353">
        <v>1111</v>
      </c>
      <c r="BE192" s="204" t="s">
        <v>723</v>
      </c>
      <c r="BF192" s="353">
        <v>0</v>
      </c>
      <c r="BG192" s="204" t="s">
        <v>1248</v>
      </c>
      <c r="BH192" s="204" t="s">
        <v>1248</v>
      </c>
      <c r="BI192" s="204" t="s">
        <v>723</v>
      </c>
      <c r="BK192" s="353">
        <v>0</v>
      </c>
      <c r="BL192" s="353">
        <v>0</v>
      </c>
      <c r="BM192" s="353">
        <v>0</v>
      </c>
      <c r="BN192" s="353">
        <v>0</v>
      </c>
      <c r="BO192" s="353">
        <v>0</v>
      </c>
      <c r="BP192" s="353">
        <v>0</v>
      </c>
      <c r="BQ192" s="353">
        <v>0</v>
      </c>
      <c r="BT192" s="353">
        <v>0</v>
      </c>
      <c r="BU192" s="353">
        <v>0</v>
      </c>
      <c r="CA192" s="353">
        <v>0</v>
      </c>
      <c r="CB192" s="353">
        <v>299.101840186</v>
      </c>
      <c r="CC192" s="204" t="s">
        <v>425</v>
      </c>
      <c r="CD192" s="204" t="s">
        <v>300</v>
      </c>
      <c r="CE192" s="204" t="s">
        <v>301</v>
      </c>
      <c r="CF192" s="204" t="s">
        <v>1068</v>
      </c>
      <c r="CG192" s="204" t="s">
        <v>1256</v>
      </c>
      <c r="CH192" s="204" t="s">
        <v>1298</v>
      </c>
      <c r="CI192" s="204" t="s">
        <v>351</v>
      </c>
      <c r="CJ192" s="204" t="s">
        <v>678</v>
      </c>
      <c r="CK192" s="353">
        <v>-9999</v>
      </c>
      <c r="CM192" s="353">
        <v>-9999</v>
      </c>
      <c r="CO192" s="353">
        <v>-9999</v>
      </c>
      <c r="CS192" s="353">
        <v>-9999</v>
      </c>
      <c r="CT192" s="353">
        <v>-9999</v>
      </c>
      <c r="CV192" s="204" t="s">
        <v>1265</v>
      </c>
      <c r="CW192" s="353">
        <v>3.4283805060700001E-3</v>
      </c>
      <c r="CX192" s="204">
        <v>2784</v>
      </c>
      <c r="CY192" s="204">
        <v>3922</v>
      </c>
      <c r="CZ192" s="204">
        <v>8712</v>
      </c>
      <c r="DA192" s="204">
        <v>6</v>
      </c>
      <c r="DB192" s="353">
        <v>6.7320000002299998E-2</v>
      </c>
      <c r="DC192" s="353">
        <v>1.76276250001E-5</v>
      </c>
      <c r="DD192" s="204">
        <v>10</v>
      </c>
      <c r="DE192" s="353">
        <v>0</v>
      </c>
      <c r="DF192" s="353">
        <v>0</v>
      </c>
      <c r="DG192" s="353">
        <v>0.96529797319699995</v>
      </c>
      <c r="DH192" s="353">
        <v>4983.6568542799996</v>
      </c>
    </row>
    <row r="193" spans="1:113">
      <c r="A193" s="204">
        <v>2785</v>
      </c>
      <c r="B193" s="204">
        <v>1</v>
      </c>
      <c r="C193" s="204">
        <v>23585</v>
      </c>
      <c r="D193" s="204">
        <v>0</v>
      </c>
      <c r="E193" s="204">
        <v>2785</v>
      </c>
      <c r="F193" s="204">
        <v>1</v>
      </c>
      <c r="G193" s="204">
        <v>2785</v>
      </c>
      <c r="H193" s="204" t="s">
        <v>742</v>
      </c>
      <c r="I193" s="354">
        <v>37462</v>
      </c>
      <c r="J193" s="204" t="s">
        <v>742</v>
      </c>
      <c r="K193" s="204" t="s">
        <v>1571</v>
      </c>
      <c r="L193" s="204" t="s">
        <v>1294</v>
      </c>
      <c r="M193" s="204" t="s">
        <v>743</v>
      </c>
      <c r="N193" s="353">
        <v>100</v>
      </c>
      <c r="P193" s="204" t="s">
        <v>744</v>
      </c>
      <c r="R193" s="204" t="s">
        <v>1248</v>
      </c>
      <c r="S193" s="353">
        <v>0</v>
      </c>
      <c r="T193" s="204" t="s">
        <v>745</v>
      </c>
      <c r="U193" s="204" t="s">
        <v>294</v>
      </c>
      <c r="W193" s="204" t="s">
        <v>746</v>
      </c>
      <c r="Z193" s="204" t="s">
        <v>369</v>
      </c>
      <c r="AA193" s="204" t="s">
        <v>704</v>
      </c>
      <c r="AB193" s="204" t="s">
        <v>1573</v>
      </c>
      <c r="AC193" s="204" t="s">
        <v>1292</v>
      </c>
      <c r="AD193" s="204" t="s">
        <v>1251</v>
      </c>
      <c r="AE193" s="353">
        <v>27093</v>
      </c>
      <c r="AF193" s="353">
        <v>38207</v>
      </c>
      <c r="AG193" s="353">
        <v>0</v>
      </c>
      <c r="AH193" s="204" t="s">
        <v>298</v>
      </c>
      <c r="AI193" s="353">
        <v>0</v>
      </c>
      <c r="AJ193" s="353">
        <v>3</v>
      </c>
      <c r="AK193" s="353">
        <v>0</v>
      </c>
      <c r="AL193" s="353">
        <v>0</v>
      </c>
      <c r="AM193" s="353">
        <v>0</v>
      </c>
      <c r="AQ193" s="353">
        <v>0</v>
      </c>
      <c r="BC193" s="353">
        <v>0</v>
      </c>
      <c r="BD193" s="353">
        <v>0</v>
      </c>
      <c r="BF193" s="353">
        <v>0</v>
      </c>
      <c r="BG193" s="204" t="s">
        <v>1248</v>
      </c>
      <c r="BH193" s="204" t="s">
        <v>1248</v>
      </c>
      <c r="BJ193" s="204" t="s">
        <v>1574</v>
      </c>
      <c r="BK193" s="353">
        <v>1440</v>
      </c>
      <c r="BL193" s="353">
        <v>1</v>
      </c>
      <c r="BM193" s="353">
        <v>2</v>
      </c>
      <c r="BN193" s="353">
        <v>0</v>
      </c>
      <c r="BO193" s="353">
        <v>0</v>
      </c>
      <c r="BP193" s="353">
        <v>0</v>
      </c>
      <c r="BQ193" s="353">
        <v>360</v>
      </c>
      <c r="BR193" s="204" t="s">
        <v>1248</v>
      </c>
      <c r="BS193" s="204" t="s">
        <v>1248</v>
      </c>
      <c r="BT193" s="353">
        <v>0</v>
      </c>
      <c r="BU193" s="353">
        <v>5000</v>
      </c>
      <c r="BV193" s="204" t="s">
        <v>1248</v>
      </c>
      <c r="BW193" s="204" t="s">
        <v>1253</v>
      </c>
      <c r="BX193" s="204" t="s">
        <v>1248</v>
      </c>
      <c r="BY193" s="204" t="s">
        <v>1248</v>
      </c>
      <c r="BZ193" s="204" t="s">
        <v>837</v>
      </c>
      <c r="CA193" s="353">
        <v>1440</v>
      </c>
      <c r="CB193" s="353">
        <v>300.00292540200002</v>
      </c>
      <c r="CC193" s="204" t="s">
        <v>498</v>
      </c>
      <c r="CD193" s="204" t="s">
        <v>300</v>
      </c>
      <c r="CE193" s="204" t="s">
        <v>301</v>
      </c>
      <c r="CF193" s="204" t="s">
        <v>1068</v>
      </c>
      <c r="CG193" s="204" t="s">
        <v>1256</v>
      </c>
      <c r="CH193" s="204" t="s">
        <v>1298</v>
      </c>
      <c r="CI193" s="204" t="s">
        <v>351</v>
      </c>
      <c r="CJ193" s="204" t="s">
        <v>678</v>
      </c>
      <c r="CK193" s="353">
        <v>-9999</v>
      </c>
      <c r="CM193" s="353">
        <v>-9999</v>
      </c>
      <c r="CO193" s="353">
        <v>-9999</v>
      </c>
      <c r="CS193" s="353">
        <v>-9999</v>
      </c>
      <c r="CT193" s="353">
        <v>-9999</v>
      </c>
      <c r="CV193" s="204" t="s">
        <v>1265</v>
      </c>
      <c r="CW193" s="353">
        <v>3.4283805060700001E-3</v>
      </c>
      <c r="CX193" s="204">
        <v>2785</v>
      </c>
      <c r="CY193" s="204">
        <v>3922</v>
      </c>
      <c r="CZ193" s="204">
        <v>8712</v>
      </c>
      <c r="DA193" s="204">
        <v>6</v>
      </c>
      <c r="DB193" s="353">
        <v>6.7320000002299998E-2</v>
      </c>
      <c r="DC193" s="353">
        <v>1.76276250001E-5</v>
      </c>
      <c r="DD193" s="204">
        <v>10</v>
      </c>
      <c r="DE193" s="353">
        <v>0</v>
      </c>
      <c r="DF193" s="353">
        <v>0</v>
      </c>
      <c r="DG193" s="353">
        <v>0.96529797319699995</v>
      </c>
      <c r="DH193" s="353">
        <v>5028.9338905100003</v>
      </c>
    </row>
    <row r="194" spans="1:113">
      <c r="A194" s="204">
        <v>2842</v>
      </c>
      <c r="B194" s="204">
        <v>1</v>
      </c>
      <c r="C194" s="204">
        <v>23752</v>
      </c>
      <c r="D194" s="204">
        <v>0</v>
      </c>
      <c r="E194" s="204">
        <v>2842</v>
      </c>
      <c r="F194" s="204">
        <v>1</v>
      </c>
      <c r="G194" s="204">
        <v>2842</v>
      </c>
      <c r="H194" s="204" t="s">
        <v>892</v>
      </c>
      <c r="I194" s="354">
        <v>37462</v>
      </c>
      <c r="J194" s="204" t="s">
        <v>892</v>
      </c>
      <c r="K194" s="204" t="s">
        <v>1575</v>
      </c>
      <c r="L194" s="204" t="s">
        <v>1294</v>
      </c>
      <c r="M194" s="204" t="s">
        <v>893</v>
      </c>
      <c r="N194" s="353">
        <v>100</v>
      </c>
      <c r="P194" s="204" t="s">
        <v>894</v>
      </c>
      <c r="R194" s="204" t="s">
        <v>1248</v>
      </c>
      <c r="S194" s="353">
        <v>0</v>
      </c>
      <c r="T194" s="204" t="s">
        <v>745</v>
      </c>
      <c r="U194" s="204" t="s">
        <v>294</v>
      </c>
      <c r="W194" s="204" t="s">
        <v>895</v>
      </c>
      <c r="Z194" s="204" t="s">
        <v>369</v>
      </c>
      <c r="AA194" s="204" t="s">
        <v>704</v>
      </c>
      <c r="AB194" s="204" t="s">
        <v>1576</v>
      </c>
      <c r="AC194" s="204" t="s">
        <v>1278</v>
      </c>
      <c r="AD194" s="204" t="s">
        <v>384</v>
      </c>
      <c r="AE194" s="353">
        <v>13018</v>
      </c>
      <c r="AF194" s="353">
        <v>42325</v>
      </c>
      <c r="AG194" s="353">
        <v>0</v>
      </c>
      <c r="AH194" s="204" t="s">
        <v>423</v>
      </c>
      <c r="AI194" s="353">
        <v>1</v>
      </c>
      <c r="AJ194" s="353">
        <v>1</v>
      </c>
      <c r="AK194" s="353">
        <v>4</v>
      </c>
      <c r="AL194" s="353">
        <v>2</v>
      </c>
      <c r="AM194" s="353">
        <v>10</v>
      </c>
      <c r="AN194" s="204" t="s">
        <v>186</v>
      </c>
      <c r="AO194" s="204" t="s">
        <v>1248</v>
      </c>
      <c r="AP194" s="204" t="s">
        <v>1248</v>
      </c>
      <c r="AQ194" s="353">
        <v>0</v>
      </c>
      <c r="AR194" s="204" t="s">
        <v>1248</v>
      </c>
      <c r="AS194" s="204" t="s">
        <v>1248</v>
      </c>
      <c r="AT194" s="204" t="s">
        <v>1248</v>
      </c>
      <c r="AU194" s="204" t="s">
        <v>1248</v>
      </c>
      <c r="AV194" s="204" t="s">
        <v>756</v>
      </c>
      <c r="AW194" s="204" t="s">
        <v>1248</v>
      </c>
      <c r="AX194" s="204" t="s">
        <v>1253</v>
      </c>
      <c r="AY194" s="204" t="s">
        <v>1248</v>
      </c>
      <c r="AZ194" s="204" t="s">
        <v>1248</v>
      </c>
      <c r="BA194" s="204" t="s">
        <v>1248</v>
      </c>
      <c r="BB194" s="204" t="s">
        <v>756</v>
      </c>
      <c r="BC194" s="353">
        <v>5000</v>
      </c>
      <c r="BD194" s="353">
        <v>1425</v>
      </c>
      <c r="BE194" s="204" t="s">
        <v>723</v>
      </c>
      <c r="BF194" s="353">
        <v>0</v>
      </c>
      <c r="BG194" s="204" t="s">
        <v>1248</v>
      </c>
      <c r="BH194" s="204" t="s">
        <v>1248</v>
      </c>
      <c r="BI194" s="204" t="s">
        <v>723</v>
      </c>
      <c r="BK194" s="353">
        <v>0</v>
      </c>
      <c r="BL194" s="353">
        <v>0</v>
      </c>
      <c r="BM194" s="353">
        <v>0</v>
      </c>
      <c r="BN194" s="353">
        <v>0</v>
      </c>
      <c r="BO194" s="353">
        <v>0</v>
      </c>
      <c r="BP194" s="353">
        <v>0</v>
      </c>
      <c r="BQ194" s="353">
        <v>0</v>
      </c>
      <c r="BT194" s="353">
        <v>0</v>
      </c>
      <c r="BU194" s="353">
        <v>0</v>
      </c>
      <c r="CA194" s="353">
        <v>0</v>
      </c>
      <c r="CB194" s="353">
        <v>299.359575656</v>
      </c>
      <c r="CC194" s="204" t="s">
        <v>425</v>
      </c>
      <c r="CD194" s="204" t="s">
        <v>300</v>
      </c>
      <c r="CE194" s="204" t="s">
        <v>301</v>
      </c>
      <c r="CF194" s="204" t="s">
        <v>1068</v>
      </c>
      <c r="CG194" s="204" t="s">
        <v>1256</v>
      </c>
      <c r="CH194" s="204" t="s">
        <v>1298</v>
      </c>
      <c r="CI194" s="204" t="s">
        <v>351</v>
      </c>
      <c r="CJ194" s="204" t="s">
        <v>678</v>
      </c>
      <c r="CK194" s="353">
        <v>-9999</v>
      </c>
      <c r="CM194" s="353">
        <v>-9999</v>
      </c>
      <c r="CO194" s="353">
        <v>-9999</v>
      </c>
      <c r="CS194" s="353">
        <v>-9999</v>
      </c>
      <c r="CT194" s="353">
        <v>-9999</v>
      </c>
      <c r="CV194" s="204" t="s">
        <v>1265</v>
      </c>
      <c r="CW194" s="353">
        <v>3.4283805060700001E-3</v>
      </c>
      <c r="CX194" s="204">
        <v>2842</v>
      </c>
      <c r="CY194" s="204">
        <v>3922</v>
      </c>
      <c r="CZ194" s="204">
        <v>8712</v>
      </c>
      <c r="DA194" s="204">
        <v>6</v>
      </c>
      <c r="DB194" s="353">
        <v>6.7320000002299998E-2</v>
      </c>
      <c r="DC194" s="353">
        <v>1.76276250001E-5</v>
      </c>
      <c r="DD194" s="204">
        <v>10</v>
      </c>
      <c r="DE194" s="353">
        <v>0</v>
      </c>
      <c r="DF194" s="353">
        <v>0</v>
      </c>
      <c r="DG194" s="353">
        <v>0.96529797319699995</v>
      </c>
      <c r="DH194" s="353">
        <v>4995.5227320900003</v>
      </c>
    </row>
    <row r="195" spans="1:113">
      <c r="A195" s="204">
        <v>2845</v>
      </c>
      <c r="B195" s="204">
        <v>1</v>
      </c>
      <c r="C195" s="204">
        <v>23759</v>
      </c>
      <c r="D195" s="204">
        <v>0</v>
      </c>
      <c r="E195" s="204">
        <v>2845</v>
      </c>
      <c r="F195" s="204">
        <v>1</v>
      </c>
      <c r="G195" s="204">
        <v>2845</v>
      </c>
      <c r="H195" s="204" t="s">
        <v>699</v>
      </c>
      <c r="I195" s="354">
        <v>37462</v>
      </c>
      <c r="J195" s="204" t="s">
        <v>699</v>
      </c>
      <c r="K195" s="204" t="s">
        <v>1571</v>
      </c>
      <c r="L195" s="204" t="s">
        <v>1294</v>
      </c>
      <c r="M195" s="204" t="s">
        <v>700</v>
      </c>
      <c r="N195" s="353">
        <v>100</v>
      </c>
      <c r="P195" s="204" t="s">
        <v>701</v>
      </c>
      <c r="R195" s="204" t="s">
        <v>1248</v>
      </c>
      <c r="S195" s="353">
        <v>0</v>
      </c>
      <c r="T195" s="204" t="s">
        <v>702</v>
      </c>
      <c r="U195" s="204" t="s">
        <v>294</v>
      </c>
      <c r="W195" s="204" t="s">
        <v>703</v>
      </c>
      <c r="Z195" s="204" t="s">
        <v>369</v>
      </c>
      <c r="AA195" s="204" t="s">
        <v>704</v>
      </c>
      <c r="AB195" s="204" t="s">
        <v>1577</v>
      </c>
      <c r="AC195" s="204" t="s">
        <v>1259</v>
      </c>
      <c r="AD195" s="204" t="s">
        <v>1251</v>
      </c>
      <c r="AE195" s="353">
        <v>100454</v>
      </c>
      <c r="AF195" s="353">
        <v>267207</v>
      </c>
      <c r="AG195" s="353">
        <v>0</v>
      </c>
      <c r="AH195" s="204" t="s">
        <v>298</v>
      </c>
      <c r="AI195" s="353">
        <v>1</v>
      </c>
      <c r="AJ195" s="353">
        <v>1</v>
      </c>
      <c r="AK195" s="353">
        <v>0</v>
      </c>
      <c r="AL195" s="353">
        <v>0</v>
      </c>
      <c r="AM195" s="353">
        <v>0</v>
      </c>
      <c r="AQ195" s="353">
        <v>0</v>
      </c>
      <c r="BC195" s="353">
        <v>0</v>
      </c>
      <c r="BD195" s="353">
        <v>0</v>
      </c>
      <c r="BF195" s="353">
        <v>0</v>
      </c>
      <c r="BG195" s="204" t="s">
        <v>1248</v>
      </c>
      <c r="BH195" s="204" t="s">
        <v>1248</v>
      </c>
      <c r="BJ195" s="204" t="s">
        <v>1270</v>
      </c>
      <c r="BK195" s="353">
        <v>3765</v>
      </c>
      <c r="BL195" s="353">
        <v>2</v>
      </c>
      <c r="BM195" s="353">
        <v>7</v>
      </c>
      <c r="BN195" s="353">
        <v>0</v>
      </c>
      <c r="BO195" s="353">
        <v>7</v>
      </c>
      <c r="BP195" s="353">
        <v>0</v>
      </c>
      <c r="BQ195" s="353">
        <v>627</v>
      </c>
      <c r="BR195" s="204" t="s">
        <v>1261</v>
      </c>
      <c r="BS195" s="204" t="s">
        <v>1248</v>
      </c>
      <c r="BT195" s="353">
        <v>6</v>
      </c>
      <c r="BU195" s="353">
        <v>7500</v>
      </c>
      <c r="BV195" s="204" t="s">
        <v>1248</v>
      </c>
      <c r="BW195" s="204" t="s">
        <v>1253</v>
      </c>
      <c r="BX195" s="204" t="s">
        <v>1248</v>
      </c>
      <c r="BY195" s="204" t="s">
        <v>1248</v>
      </c>
      <c r="BZ195" s="204" t="s">
        <v>1512</v>
      </c>
      <c r="CA195" s="353">
        <v>3765</v>
      </c>
      <c r="CB195" s="353">
        <v>349.736999309</v>
      </c>
      <c r="CC195" s="204" t="s">
        <v>299</v>
      </c>
      <c r="CD195" s="204" t="s">
        <v>300</v>
      </c>
      <c r="CE195" s="204" t="s">
        <v>301</v>
      </c>
      <c r="CF195" s="204" t="s">
        <v>1068</v>
      </c>
      <c r="CG195" s="204" t="s">
        <v>1256</v>
      </c>
      <c r="CH195" s="204" t="s">
        <v>1298</v>
      </c>
      <c r="CI195" s="204" t="s">
        <v>351</v>
      </c>
      <c r="CJ195" s="204" t="s">
        <v>678</v>
      </c>
      <c r="CK195" s="353">
        <v>-9999</v>
      </c>
      <c r="CM195" s="353">
        <v>-9999</v>
      </c>
      <c r="CO195" s="353">
        <v>-9999</v>
      </c>
      <c r="CS195" s="353">
        <v>-9999</v>
      </c>
      <c r="CT195" s="353">
        <v>-9999</v>
      </c>
      <c r="CV195" s="204" t="s">
        <v>1265</v>
      </c>
      <c r="CW195" s="353">
        <v>3.4283805060700001E-3</v>
      </c>
      <c r="CX195" s="204">
        <v>2845</v>
      </c>
      <c r="CY195" s="204">
        <v>3922</v>
      </c>
      <c r="CZ195" s="204">
        <v>8712</v>
      </c>
      <c r="DA195" s="204">
        <v>6</v>
      </c>
      <c r="DB195" s="353">
        <v>6.7320000002299998E-2</v>
      </c>
      <c r="DC195" s="353">
        <v>1.76276250001E-5</v>
      </c>
      <c r="DD195" s="204">
        <v>10</v>
      </c>
      <c r="DE195" s="353">
        <v>0</v>
      </c>
      <c r="DF195" s="353">
        <v>0</v>
      </c>
      <c r="DG195" s="353">
        <v>0.96529797319699995</v>
      </c>
      <c r="DH195" s="353">
        <v>7458.6578754599996</v>
      </c>
    </row>
    <row r="196" spans="1:113">
      <c r="A196" s="204">
        <v>2847</v>
      </c>
      <c r="B196" s="204">
        <v>1</v>
      </c>
      <c r="C196" s="204">
        <v>23764</v>
      </c>
      <c r="D196" s="204">
        <v>0</v>
      </c>
      <c r="E196" s="204">
        <v>2847</v>
      </c>
      <c r="F196" s="204">
        <v>1</v>
      </c>
      <c r="G196" s="204">
        <v>2847</v>
      </c>
      <c r="H196" s="204" t="s">
        <v>896</v>
      </c>
      <c r="I196" s="354">
        <v>37462</v>
      </c>
      <c r="J196" s="204" t="s">
        <v>896</v>
      </c>
      <c r="K196" s="204" t="s">
        <v>1575</v>
      </c>
      <c r="L196" s="204" t="s">
        <v>1288</v>
      </c>
      <c r="M196" s="204" t="s">
        <v>897</v>
      </c>
      <c r="N196" s="353">
        <v>100</v>
      </c>
      <c r="P196" s="204" t="s">
        <v>898</v>
      </c>
      <c r="R196" s="204" t="s">
        <v>1248</v>
      </c>
      <c r="S196" s="353">
        <v>0</v>
      </c>
      <c r="T196" s="204" t="s">
        <v>775</v>
      </c>
      <c r="U196" s="204" t="s">
        <v>294</v>
      </c>
      <c r="W196" s="204" t="s">
        <v>891</v>
      </c>
      <c r="Z196" s="204" t="s">
        <v>369</v>
      </c>
      <c r="AA196" s="204" t="s">
        <v>704</v>
      </c>
      <c r="AB196" s="204" t="s">
        <v>1578</v>
      </c>
      <c r="AC196" s="204" t="s">
        <v>1278</v>
      </c>
      <c r="AD196" s="204" t="s">
        <v>384</v>
      </c>
      <c r="AE196" s="353">
        <v>7815</v>
      </c>
      <c r="AF196" s="353">
        <v>46121</v>
      </c>
      <c r="AG196" s="353">
        <v>0</v>
      </c>
      <c r="AH196" s="204" t="s">
        <v>423</v>
      </c>
      <c r="AI196" s="353">
        <v>1</v>
      </c>
      <c r="AJ196" s="353">
        <v>1</v>
      </c>
      <c r="AK196" s="353">
        <v>2</v>
      </c>
      <c r="AL196" s="353">
        <v>2</v>
      </c>
      <c r="AM196" s="353">
        <v>6</v>
      </c>
      <c r="AN196" s="204" t="s">
        <v>186</v>
      </c>
      <c r="AO196" s="204" t="s">
        <v>1261</v>
      </c>
      <c r="AP196" s="204" t="s">
        <v>1248</v>
      </c>
      <c r="AQ196" s="353">
        <v>3</v>
      </c>
      <c r="AR196" s="204" t="s">
        <v>1248</v>
      </c>
      <c r="AS196" s="204" t="s">
        <v>1248</v>
      </c>
      <c r="AT196" s="204" t="s">
        <v>1248</v>
      </c>
      <c r="AU196" s="204" t="s">
        <v>1248</v>
      </c>
      <c r="AV196" s="204" t="s">
        <v>899</v>
      </c>
      <c r="AW196" s="204" t="s">
        <v>1248</v>
      </c>
      <c r="AX196" s="204" t="s">
        <v>1253</v>
      </c>
      <c r="AZ196" s="204" t="s">
        <v>1248</v>
      </c>
      <c r="BB196" s="204" t="s">
        <v>899</v>
      </c>
      <c r="BC196" s="353">
        <v>5000</v>
      </c>
      <c r="BD196" s="353">
        <v>1157</v>
      </c>
      <c r="BE196" s="204" t="s">
        <v>723</v>
      </c>
      <c r="BF196" s="353">
        <v>0</v>
      </c>
      <c r="BG196" s="204" t="s">
        <v>1248</v>
      </c>
      <c r="BH196" s="204" t="s">
        <v>1248</v>
      </c>
      <c r="BI196" s="204" t="s">
        <v>723</v>
      </c>
      <c r="BK196" s="353">
        <v>0</v>
      </c>
      <c r="BL196" s="353">
        <v>0</v>
      </c>
      <c r="BM196" s="353">
        <v>0</v>
      </c>
      <c r="BN196" s="353">
        <v>0</v>
      </c>
      <c r="BO196" s="353">
        <v>0</v>
      </c>
      <c r="BP196" s="353">
        <v>0</v>
      </c>
      <c r="BQ196" s="353">
        <v>0</v>
      </c>
      <c r="BT196" s="353">
        <v>0</v>
      </c>
      <c r="BU196" s="353">
        <v>0</v>
      </c>
      <c r="CA196" s="353">
        <v>0</v>
      </c>
      <c r="CB196" s="353">
        <v>298.82170907300002</v>
      </c>
      <c r="CC196" s="204" t="s">
        <v>425</v>
      </c>
      <c r="CD196" s="204" t="s">
        <v>300</v>
      </c>
      <c r="CE196" s="204" t="s">
        <v>301</v>
      </c>
      <c r="CF196" s="204" t="s">
        <v>1579</v>
      </c>
      <c r="CG196" s="204" t="s">
        <v>1256</v>
      </c>
      <c r="CH196" s="204" t="s">
        <v>1298</v>
      </c>
      <c r="CI196" s="204" t="s">
        <v>359</v>
      </c>
      <c r="CJ196" s="204" t="s">
        <v>678</v>
      </c>
      <c r="CK196" s="353">
        <v>-9999</v>
      </c>
      <c r="CM196" s="353">
        <v>-9999</v>
      </c>
      <c r="CO196" s="353">
        <v>-9999</v>
      </c>
      <c r="CS196" s="353">
        <v>-9999</v>
      </c>
      <c r="CT196" s="353">
        <v>-9999</v>
      </c>
      <c r="CV196" s="204" t="s">
        <v>1475</v>
      </c>
      <c r="CW196" s="353">
        <v>5.63795612726E-6</v>
      </c>
      <c r="CX196" s="204">
        <v>2847</v>
      </c>
      <c r="CY196" s="204">
        <v>3922</v>
      </c>
      <c r="CZ196" s="204">
        <v>8712</v>
      </c>
      <c r="DA196" s="204">
        <v>6</v>
      </c>
      <c r="DB196" s="353">
        <v>6.7320000002299998E-2</v>
      </c>
      <c r="DC196" s="353">
        <v>1.76276250001E-5</v>
      </c>
      <c r="DD196" s="204">
        <v>10</v>
      </c>
      <c r="DE196" s="353">
        <v>0</v>
      </c>
      <c r="DF196" s="353">
        <v>0</v>
      </c>
      <c r="DG196" s="353">
        <v>1.16757958011E-2</v>
      </c>
      <c r="DH196" s="353">
        <v>4959.8953505700001</v>
      </c>
    </row>
    <row r="197" spans="1:113">
      <c r="A197" s="204">
        <v>2848</v>
      </c>
      <c r="B197" s="204">
        <v>1</v>
      </c>
      <c r="C197" s="204">
        <v>23772</v>
      </c>
      <c r="D197" s="204">
        <v>0</v>
      </c>
      <c r="E197" s="204">
        <v>2848</v>
      </c>
      <c r="F197" s="204">
        <v>2</v>
      </c>
      <c r="G197" s="204">
        <v>2848</v>
      </c>
      <c r="H197" s="204" t="s">
        <v>900</v>
      </c>
      <c r="I197" s="354">
        <v>37462</v>
      </c>
      <c r="J197" s="204" t="s">
        <v>900</v>
      </c>
      <c r="K197" s="204" t="s">
        <v>1575</v>
      </c>
      <c r="L197" s="204" t="s">
        <v>1288</v>
      </c>
      <c r="M197" s="204" t="s">
        <v>897</v>
      </c>
      <c r="N197" s="353">
        <v>100</v>
      </c>
      <c r="P197" s="204" t="s">
        <v>901</v>
      </c>
      <c r="R197" s="204" t="s">
        <v>1248</v>
      </c>
      <c r="S197" s="353">
        <v>0</v>
      </c>
      <c r="T197" s="204" t="s">
        <v>775</v>
      </c>
      <c r="U197" s="204" t="s">
        <v>294</v>
      </c>
      <c r="W197" s="204" t="s">
        <v>887</v>
      </c>
      <c r="Z197" s="204" t="s">
        <v>369</v>
      </c>
      <c r="AA197" s="204" t="s">
        <v>704</v>
      </c>
      <c r="AB197" s="204" t="s">
        <v>1578</v>
      </c>
      <c r="AC197" s="204" t="s">
        <v>1278</v>
      </c>
      <c r="AD197" s="204" t="s">
        <v>384</v>
      </c>
      <c r="AE197" s="353">
        <v>7815</v>
      </c>
      <c r="AF197" s="353">
        <v>54832</v>
      </c>
      <c r="AG197" s="353">
        <v>0</v>
      </c>
      <c r="AH197" s="204" t="s">
        <v>423</v>
      </c>
      <c r="AI197" s="353">
        <v>1</v>
      </c>
      <c r="AJ197" s="353">
        <v>1</v>
      </c>
      <c r="AK197" s="353">
        <v>4</v>
      </c>
      <c r="AL197" s="353">
        <v>2</v>
      </c>
      <c r="AM197" s="353">
        <v>8</v>
      </c>
      <c r="AN197" s="204" t="s">
        <v>186</v>
      </c>
      <c r="AO197" s="204" t="s">
        <v>1248</v>
      </c>
      <c r="AP197" s="204" t="s">
        <v>1271</v>
      </c>
      <c r="AQ197" s="353">
        <v>2</v>
      </c>
      <c r="AR197" s="204" t="s">
        <v>1248</v>
      </c>
      <c r="AS197" s="204" t="s">
        <v>1248</v>
      </c>
      <c r="AT197" s="204" t="s">
        <v>1248</v>
      </c>
      <c r="AU197" s="204" t="s">
        <v>1248</v>
      </c>
      <c r="AV197" s="204" t="s">
        <v>469</v>
      </c>
      <c r="AW197" s="204" t="s">
        <v>1248</v>
      </c>
      <c r="AX197" s="204" t="s">
        <v>1253</v>
      </c>
      <c r="AZ197" s="204" t="s">
        <v>1248</v>
      </c>
      <c r="BB197" s="204" t="s">
        <v>469</v>
      </c>
      <c r="BC197" s="353">
        <v>5000</v>
      </c>
      <c r="BD197" s="353">
        <v>1508</v>
      </c>
      <c r="BE197" s="204" t="s">
        <v>723</v>
      </c>
      <c r="BF197" s="353">
        <v>0</v>
      </c>
      <c r="BG197" s="204" t="s">
        <v>1248</v>
      </c>
      <c r="BH197" s="204" t="s">
        <v>1248</v>
      </c>
      <c r="BI197" s="204" t="s">
        <v>723</v>
      </c>
      <c r="BK197" s="353">
        <v>0</v>
      </c>
      <c r="BL197" s="353">
        <v>0</v>
      </c>
      <c r="BM197" s="353">
        <v>0</v>
      </c>
      <c r="BN197" s="353">
        <v>0</v>
      </c>
      <c r="BO197" s="353">
        <v>0</v>
      </c>
      <c r="BP197" s="353">
        <v>0</v>
      </c>
      <c r="BQ197" s="353">
        <v>0</v>
      </c>
      <c r="BT197" s="353">
        <v>0</v>
      </c>
      <c r="BU197" s="353">
        <v>0</v>
      </c>
      <c r="CA197" s="353">
        <v>0</v>
      </c>
      <c r="CB197" s="353">
        <v>301.53992112200001</v>
      </c>
      <c r="CC197" s="204" t="s">
        <v>425</v>
      </c>
      <c r="CD197" s="204" t="s">
        <v>300</v>
      </c>
      <c r="CE197" s="204" t="s">
        <v>301</v>
      </c>
      <c r="CF197" s="204" t="s">
        <v>1579</v>
      </c>
      <c r="CG197" s="204" t="s">
        <v>1256</v>
      </c>
      <c r="CH197" s="204" t="s">
        <v>1298</v>
      </c>
      <c r="CI197" s="204" t="s">
        <v>359</v>
      </c>
      <c r="CJ197" s="204" t="s">
        <v>678</v>
      </c>
      <c r="CK197" s="353">
        <v>-9999</v>
      </c>
      <c r="CM197" s="353">
        <v>-9999</v>
      </c>
      <c r="CO197" s="353">
        <v>-9999</v>
      </c>
      <c r="CS197" s="353">
        <v>-9999</v>
      </c>
      <c r="CT197" s="353">
        <v>-9999</v>
      </c>
      <c r="CV197" s="204" t="s">
        <v>1475</v>
      </c>
      <c r="CW197" s="353">
        <v>5.63795612726E-6</v>
      </c>
      <c r="CX197" s="204">
        <v>2848</v>
      </c>
      <c r="CY197" s="204">
        <v>3922</v>
      </c>
      <c r="CZ197" s="204">
        <v>8712</v>
      </c>
      <c r="DA197" s="204">
        <v>6</v>
      </c>
      <c r="DB197" s="353">
        <v>6.7320000002299998E-2</v>
      </c>
      <c r="DC197" s="353">
        <v>1.76276250001E-5</v>
      </c>
      <c r="DD197" s="204">
        <v>10</v>
      </c>
      <c r="DE197" s="353">
        <v>0</v>
      </c>
      <c r="DF197" s="353">
        <v>0</v>
      </c>
      <c r="DG197" s="353">
        <v>1.16757958011E-2</v>
      </c>
      <c r="DH197" s="353">
        <v>5094.2123326999999</v>
      </c>
    </row>
    <row r="198" spans="1:113">
      <c r="A198" s="204">
        <v>2849</v>
      </c>
      <c r="B198" s="204">
        <v>2</v>
      </c>
      <c r="C198" s="204">
        <v>23775</v>
      </c>
      <c r="D198" s="204">
        <v>0</v>
      </c>
      <c r="E198" s="204">
        <v>2849</v>
      </c>
      <c r="F198" s="204">
        <v>1</v>
      </c>
      <c r="G198" s="204">
        <v>2849</v>
      </c>
      <c r="H198" s="204" t="s">
        <v>902</v>
      </c>
      <c r="I198" s="354">
        <v>37462</v>
      </c>
      <c r="J198" s="204" t="s">
        <v>902</v>
      </c>
      <c r="K198" s="204" t="s">
        <v>1575</v>
      </c>
      <c r="L198" s="204" t="s">
        <v>1266</v>
      </c>
      <c r="M198" s="204" t="s">
        <v>903</v>
      </c>
      <c r="N198" s="353">
        <v>100</v>
      </c>
      <c r="O198" s="204" t="s">
        <v>1580</v>
      </c>
      <c r="P198" s="204" t="s">
        <v>904</v>
      </c>
      <c r="R198" s="204" t="s">
        <v>1248</v>
      </c>
      <c r="S198" s="353">
        <v>0</v>
      </c>
      <c r="T198" s="204" t="s">
        <v>784</v>
      </c>
      <c r="U198" s="204" t="s">
        <v>294</v>
      </c>
      <c r="W198" s="204" t="s">
        <v>905</v>
      </c>
      <c r="Z198" s="204" t="s">
        <v>369</v>
      </c>
      <c r="AA198" s="204" t="s">
        <v>704</v>
      </c>
      <c r="AB198" s="204" t="s">
        <v>1581</v>
      </c>
      <c r="AC198" s="204" t="s">
        <v>1278</v>
      </c>
      <c r="AD198" s="204" t="s">
        <v>384</v>
      </c>
      <c r="AE198" s="353">
        <v>30738</v>
      </c>
      <c r="AF198" s="353">
        <v>61477</v>
      </c>
      <c r="AG198" s="353">
        <v>0</v>
      </c>
      <c r="AH198" s="204" t="s">
        <v>423</v>
      </c>
      <c r="AI198" s="353">
        <v>1</v>
      </c>
      <c r="AJ198" s="353">
        <v>1</v>
      </c>
      <c r="AK198" s="353">
        <v>4</v>
      </c>
      <c r="AL198" s="353">
        <v>2</v>
      </c>
      <c r="AM198" s="353">
        <v>8</v>
      </c>
      <c r="AN198" s="204" t="s">
        <v>1281</v>
      </c>
      <c r="AO198" s="204" t="s">
        <v>1261</v>
      </c>
      <c r="AP198" s="204" t="s">
        <v>1248</v>
      </c>
      <c r="AQ198" s="353">
        <v>2</v>
      </c>
      <c r="AR198" s="204" t="s">
        <v>1248</v>
      </c>
      <c r="AS198" s="204" t="s">
        <v>1248</v>
      </c>
      <c r="AT198" s="204" t="s">
        <v>1248</v>
      </c>
      <c r="AU198" s="204" t="s">
        <v>1248</v>
      </c>
      <c r="AV198" s="204" t="s">
        <v>437</v>
      </c>
      <c r="AW198" s="204" t="s">
        <v>1248</v>
      </c>
      <c r="AX198" s="204" t="s">
        <v>1253</v>
      </c>
      <c r="AY198" s="204" t="s">
        <v>1248</v>
      </c>
      <c r="AZ198" s="204" t="s">
        <v>1248</v>
      </c>
      <c r="BA198" s="204" t="s">
        <v>1248</v>
      </c>
      <c r="BB198" s="204" t="s">
        <v>437</v>
      </c>
      <c r="BC198" s="353">
        <v>5000</v>
      </c>
      <c r="BD198" s="353">
        <v>1388</v>
      </c>
      <c r="BE198" s="204" t="s">
        <v>723</v>
      </c>
      <c r="BF198" s="353">
        <v>0</v>
      </c>
      <c r="BG198" s="204" t="s">
        <v>1248</v>
      </c>
      <c r="BH198" s="204" t="s">
        <v>1248</v>
      </c>
      <c r="BI198" s="204" t="s">
        <v>723</v>
      </c>
      <c r="BK198" s="353">
        <v>0</v>
      </c>
      <c r="BL198" s="353">
        <v>0</v>
      </c>
      <c r="BM198" s="353">
        <v>0</v>
      </c>
      <c r="BN198" s="353">
        <v>0</v>
      </c>
      <c r="BO198" s="353">
        <v>0</v>
      </c>
      <c r="BP198" s="353">
        <v>0</v>
      </c>
      <c r="BQ198" s="353">
        <v>0</v>
      </c>
      <c r="BT198" s="353">
        <v>0</v>
      </c>
      <c r="BU198" s="353">
        <v>0</v>
      </c>
      <c r="CA198" s="353">
        <v>0</v>
      </c>
      <c r="CB198" s="353">
        <v>299.55493443699999</v>
      </c>
      <c r="CC198" s="204" t="s">
        <v>425</v>
      </c>
      <c r="CD198" s="204" t="s">
        <v>300</v>
      </c>
      <c r="CE198" s="204" t="s">
        <v>301</v>
      </c>
      <c r="CF198" s="204" t="s">
        <v>1068</v>
      </c>
      <c r="CG198" s="204" t="s">
        <v>1256</v>
      </c>
      <c r="CH198" s="204" t="s">
        <v>1298</v>
      </c>
      <c r="CI198" s="204" t="s">
        <v>351</v>
      </c>
      <c r="CJ198" s="204" t="s">
        <v>678</v>
      </c>
      <c r="CK198" s="353">
        <v>-9999</v>
      </c>
      <c r="CM198" s="353">
        <v>-9999</v>
      </c>
      <c r="CO198" s="353">
        <v>-9999</v>
      </c>
      <c r="CS198" s="353">
        <v>-9999</v>
      </c>
      <c r="CT198" s="353">
        <v>-9999</v>
      </c>
      <c r="CV198" s="204" t="s">
        <v>1265</v>
      </c>
      <c r="CW198" s="353">
        <v>3.4283805060700001E-3</v>
      </c>
      <c r="CX198" s="204">
        <v>2849</v>
      </c>
      <c r="CY198" s="204">
        <v>3922</v>
      </c>
      <c r="CZ198" s="204">
        <v>8712</v>
      </c>
      <c r="DA198" s="204">
        <v>6</v>
      </c>
      <c r="DB198" s="353">
        <v>6.7320000002299998E-2</v>
      </c>
      <c r="DC198" s="353">
        <v>1.76276250001E-5</v>
      </c>
      <c r="DD198" s="204">
        <v>10</v>
      </c>
      <c r="DE198" s="353">
        <v>0</v>
      </c>
      <c r="DF198" s="353">
        <v>0</v>
      </c>
      <c r="DG198" s="353">
        <v>0.96529797319699995</v>
      </c>
      <c r="DH198" s="353">
        <v>4985.3624039699998</v>
      </c>
    </row>
    <row r="200" spans="1:113">
      <c r="DH200" s="353">
        <f>SUM(DH2:DH198)</f>
        <v>3822051.1586753707</v>
      </c>
      <c r="DI200" s="4">
        <f>DH200/43560</f>
        <v>87.742221273539272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39" sqref="A39"/>
    </sheetView>
  </sheetViews>
  <sheetFormatPr baseColWidth="10" defaultRowHeight="14" x14ac:dyDescent="0"/>
  <cols>
    <col min="1" max="16384" width="10.83203125" style="4"/>
  </cols>
  <sheetData>
    <row r="1" spans="1:12">
      <c r="A1" s="4" t="s">
        <v>20</v>
      </c>
    </row>
    <row r="2" spans="1:12">
      <c r="D2" s="4" t="s">
        <v>42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</row>
    <row r="3" spans="1:12">
      <c r="D3" s="4" t="s">
        <v>244</v>
      </c>
      <c r="E3" s="4" t="s">
        <v>244</v>
      </c>
      <c r="F3" s="4" t="s">
        <v>244</v>
      </c>
      <c r="G3" s="4" t="s">
        <v>244</v>
      </c>
      <c r="H3" s="4" t="s">
        <v>244</v>
      </c>
      <c r="I3" s="4" t="s">
        <v>244</v>
      </c>
      <c r="J3" s="4" t="s">
        <v>244</v>
      </c>
      <c r="K3" s="4" t="s">
        <v>244</v>
      </c>
    </row>
    <row r="4" spans="1:12">
      <c r="A4" s="4" t="s">
        <v>1582</v>
      </c>
      <c r="D4" s="4">
        <v>305</v>
      </c>
      <c r="E4" s="4">
        <v>305</v>
      </c>
      <c r="F4" s="4">
        <v>305</v>
      </c>
      <c r="G4" s="4">
        <v>305</v>
      </c>
      <c r="H4" s="4">
        <v>305</v>
      </c>
      <c r="I4" s="4">
        <v>305</v>
      </c>
      <c r="J4" s="4">
        <v>372</v>
      </c>
    </row>
    <row r="5" spans="1:12">
      <c r="A5" s="4" t="s">
        <v>246</v>
      </c>
      <c r="D5" s="4">
        <v>100</v>
      </c>
      <c r="E5" s="4">
        <v>100</v>
      </c>
      <c r="F5" s="4">
        <v>100</v>
      </c>
      <c r="G5" s="4">
        <v>100</v>
      </c>
      <c r="H5" s="4">
        <v>100</v>
      </c>
      <c r="I5" s="4">
        <v>100</v>
      </c>
      <c r="J5" s="4">
        <v>134</v>
      </c>
    </row>
    <row r="6" spans="1:12">
      <c r="A6" s="4" t="s">
        <v>1583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2">
      <c r="A7" s="4" t="s">
        <v>1584</v>
      </c>
      <c r="D7" s="4">
        <v>4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</row>
    <row r="8" spans="1:12">
      <c r="A8" s="4" t="s">
        <v>1585</v>
      </c>
      <c r="D8" s="4">
        <v>405</v>
      </c>
      <c r="E8" s="4">
        <v>405</v>
      </c>
      <c r="F8" s="4">
        <v>405</v>
      </c>
      <c r="G8" s="4">
        <v>405</v>
      </c>
      <c r="H8" s="4">
        <v>405</v>
      </c>
      <c r="I8" s="4">
        <v>405</v>
      </c>
      <c r="J8" s="4">
        <v>506</v>
      </c>
    </row>
    <row r="12" spans="1:12">
      <c r="A12" s="4" t="s">
        <v>6</v>
      </c>
    </row>
    <row r="13" spans="1:12">
      <c r="E13" s="4" t="s">
        <v>57</v>
      </c>
      <c r="F13" s="4" t="s">
        <v>58</v>
      </c>
      <c r="G13" s="4" t="s">
        <v>59</v>
      </c>
      <c r="H13" s="4" t="s">
        <v>60</v>
      </c>
      <c r="I13" s="4" t="s">
        <v>61</v>
      </c>
      <c r="J13" s="4" t="s">
        <v>62</v>
      </c>
      <c r="L13" s="4" t="s">
        <v>69</v>
      </c>
    </row>
    <row r="14" spans="1:12">
      <c r="E14" s="4" t="s">
        <v>244</v>
      </c>
      <c r="F14" s="4" t="s">
        <v>244</v>
      </c>
      <c r="G14" s="4" t="s">
        <v>244</v>
      </c>
      <c r="H14" s="4" t="s">
        <v>244</v>
      </c>
      <c r="I14" s="4" t="s">
        <v>244</v>
      </c>
      <c r="J14" s="4" t="s">
        <v>249</v>
      </c>
      <c r="L14" s="4" t="s">
        <v>244</v>
      </c>
    </row>
    <row r="15" spans="1:12">
      <c r="A15" s="4" t="s">
        <v>245</v>
      </c>
      <c r="E15" s="4">
        <v>0</v>
      </c>
      <c r="F15" s="4">
        <v>0</v>
      </c>
      <c r="G15" s="4">
        <v>0</v>
      </c>
      <c r="H15" s="4">
        <v>100</v>
      </c>
      <c r="I15" s="4">
        <v>155</v>
      </c>
      <c r="J15" s="4">
        <v>178</v>
      </c>
      <c r="L15" s="4">
        <v>62</v>
      </c>
    </row>
    <row r="16" spans="1:12">
      <c r="A16" s="4" t="s">
        <v>246</v>
      </c>
      <c r="E16" s="4">
        <v>2</v>
      </c>
      <c r="F16" s="4">
        <v>2</v>
      </c>
      <c r="G16" s="4">
        <v>9</v>
      </c>
      <c r="H16" s="4">
        <v>9</v>
      </c>
      <c r="I16" s="4">
        <v>21</v>
      </c>
      <c r="J16" s="4">
        <v>69</v>
      </c>
      <c r="L16" s="4">
        <v>134</v>
      </c>
    </row>
    <row r="17" spans="1:12">
      <c r="A17" s="4" t="s">
        <v>1583</v>
      </c>
      <c r="E17" s="4">
        <v>2</v>
      </c>
      <c r="F17" s="4">
        <v>2</v>
      </c>
      <c r="G17" s="4">
        <v>2</v>
      </c>
      <c r="H17" s="4">
        <v>2</v>
      </c>
      <c r="I17" s="4">
        <v>6</v>
      </c>
      <c r="J17" s="4">
        <v>12</v>
      </c>
      <c r="L17" s="4">
        <v>2</v>
      </c>
    </row>
    <row r="18" spans="1:12">
      <c r="A18" s="4" t="s">
        <v>248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L18" s="4">
        <v>9</v>
      </c>
    </row>
    <row r="19" spans="1:12">
      <c r="A19" s="4" t="s">
        <v>1585</v>
      </c>
      <c r="E19" s="4">
        <f>SUM(E15:E16)</f>
        <v>2</v>
      </c>
      <c r="F19" s="4">
        <f t="shared" ref="F19:J19" si="0">SUM(F15:F16)</f>
        <v>2</v>
      </c>
      <c r="G19" s="4">
        <f t="shared" si="0"/>
        <v>9</v>
      </c>
      <c r="H19" s="4">
        <f t="shared" si="0"/>
        <v>109</v>
      </c>
      <c r="I19" s="4">
        <f t="shared" si="0"/>
        <v>176</v>
      </c>
      <c r="J19" s="4">
        <f t="shared" si="0"/>
        <v>247</v>
      </c>
      <c r="L19" s="4">
        <v>196</v>
      </c>
    </row>
    <row r="20" spans="1:12">
      <c r="A20" s="4" t="s">
        <v>1586</v>
      </c>
    </row>
    <row r="22" spans="1:12">
      <c r="A22" s="15" t="s">
        <v>251</v>
      </c>
    </row>
    <row r="23" spans="1:12">
      <c r="A23" s="15" t="s">
        <v>252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0"/>
  <sheetViews>
    <sheetView topLeftCell="A31" zoomScale="125" zoomScaleNormal="125" zoomScalePageLayoutView="125" workbookViewId="0">
      <pane xSplit="1" topLeftCell="I1" activePane="topRight" state="frozen"/>
      <selection pane="topRight" activeCell="A36" sqref="A36:XFD36"/>
    </sheetView>
  </sheetViews>
  <sheetFormatPr baseColWidth="10" defaultRowHeight="14" x14ac:dyDescent="0"/>
  <cols>
    <col min="1" max="1" width="62.33203125" style="15" customWidth="1"/>
    <col min="2" max="2" width="10.83203125" style="4"/>
    <col min="3" max="3" width="10.83203125" style="2"/>
    <col min="4" max="4" width="10.83203125" style="4"/>
    <col min="5" max="5" width="10.83203125" style="2"/>
    <col min="6" max="6" width="10.83203125" style="60"/>
    <col min="7" max="7" width="10.83203125" style="2"/>
    <col min="8" max="8" width="10.83203125" style="4"/>
    <col min="9" max="9" width="11" style="2" bestFit="1" customWidth="1"/>
    <col min="10" max="10" width="10.83203125" style="4"/>
    <col min="11" max="11" width="10.83203125" style="2"/>
    <col min="12" max="12" width="10.83203125" style="4"/>
    <col min="13" max="13" width="10.83203125" style="2"/>
    <col min="14" max="14" width="10.83203125" style="4"/>
    <col min="15" max="15" width="13" style="140" bestFit="1" customWidth="1"/>
    <col min="16" max="16" width="10.83203125" style="4"/>
    <col min="17" max="17" width="10.83203125" style="2"/>
    <col min="18" max="16384" width="10.83203125" style="4"/>
  </cols>
  <sheetData>
    <row r="2" spans="1:20">
      <c r="A2" s="1" t="s">
        <v>70</v>
      </c>
    </row>
    <row r="3" spans="1:20" s="8" customFormat="1">
      <c r="A3" s="5" t="s">
        <v>71</v>
      </c>
      <c r="B3" s="61">
        <f>P28+P49+P70</f>
        <v>277</v>
      </c>
      <c r="C3" s="63"/>
      <c r="E3" s="62"/>
      <c r="F3" s="63"/>
      <c r="G3" s="62"/>
      <c r="I3" s="62"/>
      <c r="K3" s="62"/>
      <c r="M3" s="62"/>
      <c r="O3" s="142"/>
      <c r="Q3" s="62"/>
    </row>
    <row r="4" spans="1:20" s="8" customFormat="1">
      <c r="A4" s="5" t="s">
        <v>72</v>
      </c>
      <c r="B4" s="6">
        <f>Q28+Q49+Q70</f>
        <v>5934.723291331271</v>
      </c>
      <c r="C4" s="62"/>
      <c r="E4" s="62"/>
      <c r="F4" s="63"/>
      <c r="G4" s="62"/>
      <c r="I4" s="62"/>
      <c r="K4" s="62"/>
      <c r="M4" s="62"/>
      <c r="O4" s="142"/>
      <c r="Q4" s="62"/>
    </row>
    <row r="5" spans="1:20" s="12" customFormat="1">
      <c r="A5" s="9" t="s">
        <v>2</v>
      </c>
      <c r="C5" s="10"/>
      <c r="E5" s="10"/>
      <c r="F5" s="64"/>
      <c r="G5" s="10"/>
      <c r="I5" s="10"/>
      <c r="K5" s="10"/>
      <c r="M5" s="10"/>
      <c r="O5" s="144"/>
      <c r="Q5" s="10"/>
    </row>
    <row r="6" spans="1:20">
      <c r="A6" s="13" t="s">
        <v>73</v>
      </c>
    </row>
    <row r="7" spans="1:20">
      <c r="A7" s="14" t="s">
        <v>4</v>
      </c>
    </row>
    <row r="11" spans="1:20">
      <c r="A11" s="16" t="s">
        <v>6</v>
      </c>
      <c r="B11" s="65"/>
      <c r="C11" s="17"/>
      <c r="D11" s="65"/>
      <c r="E11" s="17"/>
      <c r="F11" s="66"/>
      <c r="G11" s="17"/>
      <c r="H11" s="65"/>
      <c r="I11" s="39"/>
      <c r="J11" s="18"/>
      <c r="K11" s="39"/>
      <c r="L11" s="18"/>
      <c r="M11" s="39"/>
      <c r="N11" s="18"/>
      <c r="O11" s="146"/>
      <c r="P11" s="65"/>
      <c r="Q11" s="17"/>
      <c r="R11" s="18"/>
      <c r="S11" s="18"/>
      <c r="T11" s="18"/>
    </row>
    <row r="12" spans="1:20" s="21" customFormat="1">
      <c r="A12" s="14"/>
      <c r="B12" s="67" t="s">
        <v>42</v>
      </c>
      <c r="C12" s="23"/>
      <c r="D12" s="68" t="s">
        <v>43</v>
      </c>
      <c r="E12" s="20"/>
      <c r="F12" s="69" t="s">
        <v>44</v>
      </c>
      <c r="G12" s="20"/>
      <c r="H12" s="68" t="s">
        <v>45</v>
      </c>
      <c r="I12" s="20"/>
      <c r="J12" s="68" t="s">
        <v>46</v>
      </c>
      <c r="K12" s="20"/>
      <c r="L12" s="68" t="s">
        <v>47</v>
      </c>
      <c r="M12" s="20"/>
      <c r="N12" s="68" t="s">
        <v>48</v>
      </c>
      <c r="O12" s="149"/>
      <c r="P12" s="68" t="s">
        <v>49</v>
      </c>
      <c r="Q12" s="20"/>
      <c r="R12" s="18"/>
      <c r="S12" s="18"/>
      <c r="T12" s="18"/>
    </row>
    <row r="13" spans="1:20" s="21" customFormat="1">
      <c r="A13" s="22"/>
      <c r="B13" s="70" t="s">
        <v>50</v>
      </c>
      <c r="C13" s="23" t="s">
        <v>51</v>
      </c>
      <c r="D13" s="71" t="s">
        <v>50</v>
      </c>
      <c r="E13" s="24" t="s">
        <v>51</v>
      </c>
      <c r="F13" s="72" t="s">
        <v>50</v>
      </c>
      <c r="G13" s="24" t="s">
        <v>51</v>
      </c>
      <c r="H13" s="71" t="s">
        <v>50</v>
      </c>
      <c r="I13" s="24" t="s">
        <v>51</v>
      </c>
      <c r="J13" s="71" t="s">
        <v>50</v>
      </c>
      <c r="K13" s="24" t="s">
        <v>51</v>
      </c>
      <c r="L13" s="71" t="s">
        <v>50</v>
      </c>
      <c r="M13" s="24" t="s">
        <v>51</v>
      </c>
      <c r="N13" s="71" t="s">
        <v>50</v>
      </c>
      <c r="O13" s="151" t="s">
        <v>51</v>
      </c>
      <c r="P13" s="71" t="s">
        <v>50</v>
      </c>
      <c r="Q13" s="24" t="s">
        <v>51</v>
      </c>
      <c r="R13" s="18"/>
      <c r="S13" s="18"/>
      <c r="T13" s="18"/>
    </row>
    <row r="14" spans="1:20">
      <c r="A14" s="273" t="s">
        <v>235</v>
      </c>
      <c r="B14" s="74">
        <f>COUNTIFS('[5]IndustrialExposure-shrt fields'!AH:AH, "FZ no SLR", '[5]IndustrialExposure-shrt fields'!U:U, "Heavy industrial")</f>
        <v>6</v>
      </c>
      <c r="C14" s="274">
        <f>SUMIFS('[5]IndustrialExposure-shrt fields'!AG:AG,'[5]IndustrialExposure-shrt fields'!AH:AH, "FZ no SLR", '[5]IndustrialExposure-shrt fields'!U:U, "Heavy industrial")</f>
        <v>62.816952126790639</v>
      </c>
      <c r="D14" s="75">
        <f>COUNTIFS('[5]IndustrialExposure-shrt fields'!AH:AH, "FZ with SLR", '[5]IndustrialExposure-shrt fields'!U:U, "Heavy industrial", '[5]IndustrialExposure-shrt fields'!AD:AD, 0)</f>
        <v>34</v>
      </c>
      <c r="E14" s="20">
        <f>SUMIFS('[5]IndustrialExposure-shrt fields'!AG:AG,'[5]IndustrialExposure-shrt fields'!AH:AH, "FZ with SLR", '[5]IndustrialExposure-shrt fields'!U:U, "Heavy industrial", '[5]IndustrialExposure-shrt fields'!AD:AD, 0)</f>
        <v>2558.2547496146649</v>
      </c>
      <c r="F14" s="76">
        <f>COUNTIFS('[5]IndustrialExposure-shrt fields'!AH:AH, "FZ with SLR", '[5]IndustrialExposure-shrt fields'!U:U, "Heavy industrial", '[5]IndustrialExposure-shrt fields'!AD:AD, 1)</f>
        <v>3</v>
      </c>
      <c r="G14" s="76">
        <f>SUMIFS('[5]IndustrialExposure-shrt fields'!AG:AG,'[5]IndustrialExposure-shrt fields'!AH:AH, "FZ with SLR", '[5]IndustrialExposure-shrt fields'!U:U, "Heavy industrial", '[5]IndustrialExposure-shrt fields'!AD:AD, 1)</f>
        <v>163.75589065222681</v>
      </c>
      <c r="H14" s="76">
        <f>COUNTIFS('[5]IndustrialExposure-shrt fields'!AH:AH, "FZ with SLR", '[5]IndustrialExposure-shrt fields'!U:U, "Heavy industrial", '[5]IndustrialExposure-shrt fields'!AD:AD, 2)</f>
        <v>7</v>
      </c>
      <c r="I14" s="76">
        <f>SUMIFS('[5]IndustrialExposure-shrt fields'!AG:AG,'[5]IndustrialExposure-shrt fields'!AH:AH, "FZ with SLR", '[5]IndustrialExposure-shrt fields'!U:U, "Heavy industrial", '[5]IndustrialExposure-shrt fields'!AD:AD, 2)</f>
        <v>581.32275405107896</v>
      </c>
      <c r="J14" s="76">
        <f>COUNTIFS('[5]IndustrialExposure-shrt fields'!AH:AH, "FZ with SLR", '[5]IndustrialExposure-shrt fields'!U:U, "Heavy industrial", '[5]IndustrialExposure-shrt fields'!AD:AD, 3)</f>
        <v>8</v>
      </c>
      <c r="K14" s="76">
        <f>SUMIFS('[5]IndustrialExposure-shrt fields'!AG:AG,'[5]IndustrialExposure-shrt fields'!AH:AH, "FZ with SLR", '[5]IndustrialExposure-shrt fields'!U:U, "Heavy industrial", '[5]IndustrialExposure-shrt fields'!AD:AD, 3)</f>
        <v>500.4408198573164</v>
      </c>
      <c r="L14" s="76">
        <f>COUNTIFS('[5]IndustrialExposure-shrt fields'!AH:AH, "FZ with SLR", '[5]IndustrialExposure-shrt fields'!U:U, "Heavy industrial", '[5]IndustrialExposure-shrt fields'!AD:AD, 4)</f>
        <v>3</v>
      </c>
      <c r="M14" s="76">
        <f>SUMIFS('[5]IndustrialExposure-shrt fields'!AG:AG,'[5]IndustrialExposure-shrt fields'!AH:AH, "FZ with SLR", '[5]IndustrialExposure-shrt fields'!U:U, "Heavy industrial", '[5]IndustrialExposure-shrt fields'!AD:AD, 4)</f>
        <v>111.45640989582644</v>
      </c>
      <c r="N14" s="75">
        <f>COUNTIFS('[5]IndustrialExposure-shrt fields'!AH:AH, "FZ with SLR", '[5]IndustrialExposure-shrt fields'!U:U, "Heavy industrial", '[5]IndustrialExposure-shrt fields'!AD:AD, 5)</f>
        <v>1</v>
      </c>
      <c r="O14" s="149">
        <f>SUMIFS('[5]IndustrialExposure-shrt fields'!AG:AG,'[5]IndustrialExposure-shrt fields'!AH:AH, "FZ with SLR", '[5]IndustrialExposure-shrt fields'!U:U, "Heavy industrial", '[5]IndustrialExposure-shrt fields'!AD:AD, 5)</f>
        <v>41.012796442148762</v>
      </c>
      <c r="P14" s="75">
        <f>COUNTIFS('[5]IndustrialExposure-shrt fields'!AH:AH, "FZ with SLR", '[5]IndustrialExposure-shrt fields'!U:U, "Heavy industrial", '[5]IndustrialExposure-shrt fields'!AD:AD, 6)</f>
        <v>2</v>
      </c>
      <c r="Q14" s="20">
        <f>SUMIFS('[5]IndustrialExposure-shrt fields'!AG:AG,'[5]IndustrialExposure-shrt fields'!AH:AH, "FZ with SLR", '[5]IndustrialExposure-shrt fields'!U:U, "Heavy industrial", '[5]IndustrialExposure-shrt fields'!AD:AD, 6)</f>
        <v>204.64802196354452</v>
      </c>
      <c r="R14" s="18"/>
      <c r="S14" s="18"/>
      <c r="T14" s="18"/>
    </row>
    <row r="15" spans="1:20">
      <c r="A15" s="275" t="s">
        <v>236</v>
      </c>
      <c r="B15" s="74">
        <f>COUNTIFS('[5]IndustrialExposure-shrt fields'!AH:AH, "FZ no SLR", '[5]IndustrialExposure-shrt fields'!U:U, "Industrial Park (with structures)")</f>
        <v>8</v>
      </c>
      <c r="C15" s="274">
        <f>SUMIFS('[5]IndustrialExposure-shrt fields'!AG:AG,'[5]IndustrialExposure-shrt fields'!AH:AH, "FZ no SLR", '[5]IndustrialExposure-shrt fields'!U:U, "Industrial Park (with structures)")</f>
        <v>59.851151001705695</v>
      </c>
      <c r="D15" s="75">
        <f>COUNTIFS('[5]IndustrialExposure-shrt fields'!AH:AH, "FZ with SLR", '[5]IndustrialExposure-shrt fields'!U:U, "Industrial Park (with structures)", '[5]IndustrialExposure-shrt fields'!AD:AD, 0)</f>
        <v>0</v>
      </c>
      <c r="E15" s="76">
        <v>0</v>
      </c>
      <c r="F15" s="76">
        <f>COUNTIFS('[5]IndustrialExposure-shrt fields'!AH:AH, "FZ with SLR", '[5]IndustrialExposure-shrt fields'!U:U, "Industrial Park (with structures)", '[5]IndustrialExposure-shrt fields'!AD:AD, 1)</f>
        <v>1</v>
      </c>
      <c r="G15" s="76">
        <f>SUMIFS('[5]IndustrialExposure-shrt fields'!AG:AG,'[5]IndustrialExposure-shrt fields'!AH:AH, "FZ with SLR", '[5]IndustrialExposure-shrt fields'!U:U, "Industrial Park (with structures)", '[5]IndustrialExposure-shrt fields'!AD:AD, 1)</f>
        <v>77.277476919880627</v>
      </c>
      <c r="H15" s="76">
        <f>COUNTIFS('[5]IndustrialExposure-shrt fields'!AH:AH, "FZ with SLR", '[5]IndustrialExposure-shrt fields'!U:U, "Industrial Park (with structures)", '[5]IndustrialExposure-shrt fields'!AD:AD, 2)</f>
        <v>0</v>
      </c>
      <c r="I15" s="76">
        <v>0</v>
      </c>
      <c r="J15" s="76">
        <f>COUNTIFS('[5]IndustrialExposure-shrt fields'!AH:AH, "FZ with SLR", '[5]IndustrialExposure-shrt fields'!U:U, "Industrial Park (with structures)", '[5]IndustrialExposure-shrt fields'!AD:AD, 3)</f>
        <v>0</v>
      </c>
      <c r="K15" s="76">
        <v>0</v>
      </c>
      <c r="L15" s="76">
        <f>COUNTIFS('[5]IndustrialExposure-shrt fields'!AH:AH, "FZ with SLR", '[5]IndustrialExposure-shrt fields'!U:U, "Industrial Park (with structures)", '[5]IndustrialExposure-shrt fields'!AD:AD, 4)</f>
        <v>0</v>
      </c>
      <c r="M15" s="76">
        <v>0</v>
      </c>
      <c r="N15" s="75">
        <f>COUNTIFS('[5]IndustrialExposure-shrt fields'!AH:AH, "FZ with SLR", '[5]IndustrialExposure-shrt fields'!U:U, "Industrial Park (with structures)", '[5]IndustrialExposure-shrt fields'!AD:AD, 5)</f>
        <v>0</v>
      </c>
      <c r="O15" s="76">
        <v>0</v>
      </c>
      <c r="P15" s="75">
        <f>COUNTIFS('[5]IndustrialExposure-shrt fields'!AH:AH, "FZ with SLR", '[5]IndustrialExposure-shrt fields'!U:U, "Industrial Park (with structures)", '[5]IndustrialExposure-shrt fields'!AD:AD, 6)</f>
        <v>1</v>
      </c>
      <c r="Q15" s="20">
        <f>SUMIFS('[5]IndustrialExposure-shrt fields'!AG:AG,'[5]IndustrialExposure-shrt fields'!AH:AH, "FZ with SLR", '[5]IndustrialExposure-shrt fields'!U:U, "Industrial Park (with structures)", '[5]IndustrialExposure-shrt fields'!AD:AD, 6)</f>
        <v>1.7206577453213956</v>
      </c>
      <c r="R15" s="18"/>
      <c r="S15" s="18"/>
      <c r="T15" s="18"/>
    </row>
    <row r="16" spans="1:20">
      <c r="A16" s="275" t="s">
        <v>237</v>
      </c>
      <c r="B16" s="74">
        <f>COUNTIFS('[5]IndustrialExposure-shrt fields'!AH:AH, "FZ no SLR", '[5]IndustrialExposure-shrt fields'!U:U, "Light industrial")</f>
        <v>31</v>
      </c>
      <c r="C16" s="274">
        <f>SUMIFS('[5]IndustrialExposure-shrt fields'!AG:AG,'[5]IndustrialExposure-shrt fields'!AH:AH, "FZ no SLR", '[5]IndustrialExposure-shrt fields'!U:U, "Light industrial")</f>
        <v>91.029896891942599</v>
      </c>
      <c r="D16" s="75">
        <f>COUNTIFS('[5]IndustrialExposure-shrt fields'!AH:AH, "FZ with SLR", '[5]IndustrialExposure-shrt fields'!U:U, "Light industrial", '[5]IndustrialExposure-shrt fields'!AD:AD, 0)</f>
        <v>7</v>
      </c>
      <c r="E16" s="20">
        <f>SUMIFS('[5]IndustrialExposure-shrt fields'!AG:AG,'[5]IndustrialExposure-shrt fields'!AH:AH, "FZ with SLR", '[5]IndustrialExposure-shrt fields'!U:U, "Light industrial", '[5]IndustrialExposure-shrt fields'!AD:AD, 0)</f>
        <v>310.18156794534667</v>
      </c>
      <c r="F16" s="76">
        <f>COUNTIFS('[5]IndustrialExposure-shrt fields'!AH:AH, "FZ with SLR", '[5]IndustrialExposure-shrt fields'!U:U, "Light industrial", '[5]IndustrialExposure-shrt fields'!AD:AD, 1)</f>
        <v>3</v>
      </c>
      <c r="G16" s="76">
        <f>SUMIFS('[5]IndustrialExposure-shrt fields'!AG:AG,'[5]IndustrialExposure-shrt fields'!AH:AH, "FZ with SLR", '[5]IndustrialExposure-shrt fields'!U:U, "Light industrial", '[5]IndustrialExposure-shrt fields'!AD:AD, 1)</f>
        <v>49.925870373806248</v>
      </c>
      <c r="H16" s="76">
        <f>COUNTIFS('[5]IndustrialExposure-shrt fields'!AH:AH, "FZ with SLR", '[5]IndustrialExposure-shrt fields'!U:U, "Light industrial", '[5]IndustrialExposure-shrt fields'!AD:AD, 2)</f>
        <v>2</v>
      </c>
      <c r="I16" s="76">
        <f>SUMIFS('[5]IndustrialExposure-shrt fields'!AG:AG,'[5]IndustrialExposure-shrt fields'!AH:AH, "FZ with SLR", '[5]IndustrialExposure-shrt fields'!U:U, "Light industrial", '[5]IndustrialExposure-shrt fields'!AD:AD, 2)</f>
        <v>4.473276618608816</v>
      </c>
      <c r="J16" s="76">
        <f>COUNTIFS('[5]IndustrialExposure-shrt fields'!AH:AH, "FZ with SLR", '[5]IndustrialExposure-shrt fields'!U:U, "Light industrial", '[5]IndustrialExposure-shrt fields'!AD:AD, 3)</f>
        <v>2</v>
      </c>
      <c r="K16" s="76">
        <f>SUMIFS('[5]IndustrialExposure-shrt fields'!AG:AG,'[5]IndustrialExposure-shrt fields'!AH:AH, "FZ with SLR", '[5]IndustrialExposure-shrt fields'!U:U, "Light industrial", '[5]IndustrialExposure-shrt fields'!AD:AD, 3)</f>
        <v>4.4935463831542704</v>
      </c>
      <c r="L16" s="76">
        <f>COUNTIFS('[5]IndustrialExposure-shrt fields'!AH:AH, "FZ with SLR", '[5]IndustrialExposure-shrt fields'!U:U, "Light industrial", '[5]IndustrialExposure-shrt fields'!AD:AD, 4)</f>
        <v>5</v>
      </c>
      <c r="M16" s="76">
        <f>SUMIFS('[5]IndustrialExposure-shrt fields'!AG:AG,'[5]IndustrialExposure-shrt fields'!AH:AH, "FZ with SLR", '[5]IndustrialExposure-shrt fields'!U:U, "Light industrial", '[5]IndustrialExposure-shrt fields'!AD:AD, 4)</f>
        <v>7.7670349255004592</v>
      </c>
      <c r="N16" s="75">
        <f>COUNTIFS('[5]IndustrialExposure-shrt fields'!AH:AH, "FZ with SLR", '[5]IndustrialExposure-shrt fields'!U:U, "Light industrial", '[5]IndustrialExposure-shrt fields'!AD:AD, 5)</f>
        <v>2</v>
      </c>
      <c r="O16" s="149">
        <f>SUMIFS('[5]IndustrialExposure-shrt fields'!AG:AG,'[5]IndustrialExposure-shrt fields'!AH:AH, "FZ with SLR", '[5]IndustrialExposure-shrt fields'!U:U, "Light industrial", '[5]IndustrialExposure-shrt fields'!AD:AD, 5)</f>
        <v>21.819515111793844</v>
      </c>
      <c r="P16" s="75">
        <f>COUNTIFS('[5]IndustrialExposure-shrt fields'!AH:AH, "FZ with SLR", '[5]IndustrialExposure-shrt fields'!U:U, "Light industrial", '[5]IndustrialExposure-shrt fields'!AD:AD, 6)</f>
        <v>2</v>
      </c>
      <c r="Q16" s="20">
        <f>SUMIFS('[5]IndustrialExposure-shrt fields'!AG:AG,'[5]IndustrialExposure-shrt fields'!AH:AH, "FZ with SLR", '[5]IndustrialExposure-shrt fields'!U:U, "Light industrial", '[5]IndustrialExposure-shrt fields'!AD:AD, 6)</f>
        <v>0.45392375831404957</v>
      </c>
      <c r="R16" s="18"/>
      <c r="S16" s="18"/>
      <c r="T16" s="18"/>
    </row>
    <row r="17" spans="1:20">
      <c r="A17" s="275" t="s">
        <v>238</v>
      </c>
      <c r="B17" s="74">
        <f>COUNTIFS('[5]IndustrialExposure-shrt fields'!AH:AH, "FZ no SLR", '[5]IndustrialExposure-shrt fields'!U:U, "Research and Development, with or without structures")</f>
        <v>0</v>
      </c>
      <c r="C17" s="274">
        <f>SUMIFS('[5]IndustrialExposure-shrt fields'!AG:AG,'[5]IndustrialExposure-shrt fields'!AH:AH, "FZ no SLR", '[5]IndustrialExposure-shrt fields'!U:U, "Research and Development, with or without structuresl")</f>
        <v>0</v>
      </c>
      <c r="D17" s="75">
        <f>COUNTIFS('[5]IndustrialExposure-shrt fields'!AH:AH, "FZ with SLR", '[5]IndustrialExposure-shrt fields'!U:U, "Research and Development, with or without structures", '[5]IndustrialExposure-shrt fields'!AD:AD, 0)</f>
        <v>0</v>
      </c>
      <c r="E17" s="76">
        <f>0</f>
        <v>0</v>
      </c>
      <c r="F17" s="76">
        <f>COUNTIFS('[5]IndustrialExposure-shrt fields'!AH:AH, "FZ with SLR", '[5]IndustrialExposure-shrt fields'!U:U, "Research and Development, with or without structures", '[5]IndustrialExposure-shrt fields'!AD:AD, 1)</f>
        <v>0</v>
      </c>
      <c r="G17" s="76">
        <v>0</v>
      </c>
      <c r="H17" s="76">
        <f>COUNTIFS('[5]IndustrialExposure-shrt fields'!AH:AH, "FZ with SLR", '[5]IndustrialExposure-shrt fields'!U:U, "Research and Development, with or without structures", '[5]IndustrialExposure-shrt fields'!AD:AD, 2)</f>
        <v>0</v>
      </c>
      <c r="I17" s="76">
        <v>0</v>
      </c>
      <c r="J17" s="76">
        <f>COUNTIFS('[5]IndustrialExposure-shrt fields'!AH:AH, "FZ with SLR", '[5]IndustrialExposure-shrt fields'!U:U, "Research and Development, with or without structures", '[5]IndustrialExposure-shrt fields'!AD:AD, 3)</f>
        <v>0</v>
      </c>
      <c r="K17" s="76">
        <v>0</v>
      </c>
      <c r="L17" s="76">
        <f>COUNTIFS('[5]IndustrialExposure-shrt fields'!AH:AH, "FZ with SLR", '[5]IndustrialExposure-shrt fields'!U:U, "Research and Development, with or without structures", '[5]IndustrialExposure-shrt fields'!AD:AD, 4)</f>
        <v>0</v>
      </c>
      <c r="M17" s="76">
        <v>0</v>
      </c>
      <c r="N17" s="75">
        <f>COUNTIFS('[5]IndustrialExposure-shrt fields'!AH:AH, "FZ with SLR", '[5]IndustrialExposure-shrt fields'!U:U, "Research and Development, with or without structures", '[5]IndustrialExposure-shrt fields'!AD:AD, 5)</f>
        <v>0</v>
      </c>
      <c r="O17" s="76">
        <v>0</v>
      </c>
      <c r="P17" s="75">
        <f>COUNTIFS('[5]IndustrialExposure-shrt fields'!AH:AH, "FZ with SLR", '[5]IndustrialExposure-shrt fields'!U:U, "Research and Development, with or without structures", '[5]IndustrialExposure-shrt fields'!AD:AD, 6)</f>
        <v>0</v>
      </c>
      <c r="Q17" s="76">
        <v>0</v>
      </c>
      <c r="R17" s="18"/>
      <c r="S17" s="18"/>
      <c r="T17" s="18"/>
    </row>
    <row r="18" spans="1:20" s="32" customFormat="1">
      <c r="A18" s="29" t="s">
        <v>19</v>
      </c>
      <c r="B18" s="81">
        <f t="shared" ref="B18:Q18" si="0">SUM(B14:B17)</f>
        <v>45</v>
      </c>
      <c r="C18" s="30">
        <f t="shared" si="0"/>
        <v>213.69800002043894</v>
      </c>
      <c r="D18" s="155">
        <f t="shared" si="0"/>
        <v>41</v>
      </c>
      <c r="E18" s="31">
        <f t="shared" si="0"/>
        <v>2868.4363175600115</v>
      </c>
      <c r="F18" s="155">
        <f t="shared" si="0"/>
        <v>7</v>
      </c>
      <c r="G18" s="31">
        <f t="shared" si="0"/>
        <v>290.95923794591369</v>
      </c>
      <c r="H18" s="155">
        <f t="shared" si="0"/>
        <v>9</v>
      </c>
      <c r="I18" s="31">
        <f t="shared" si="0"/>
        <v>585.79603066968775</v>
      </c>
      <c r="J18" s="155">
        <f t="shared" si="0"/>
        <v>10</v>
      </c>
      <c r="K18" s="31">
        <f t="shared" si="0"/>
        <v>504.93436624047069</v>
      </c>
      <c r="L18" s="155">
        <f t="shared" si="0"/>
        <v>8</v>
      </c>
      <c r="M18" s="31">
        <f t="shared" si="0"/>
        <v>119.22344482132689</v>
      </c>
      <c r="N18" s="155">
        <f t="shared" si="0"/>
        <v>3</v>
      </c>
      <c r="O18" s="157">
        <f t="shared" si="0"/>
        <v>62.832311553942603</v>
      </c>
      <c r="P18" s="155">
        <f t="shared" si="0"/>
        <v>5</v>
      </c>
      <c r="Q18" s="31">
        <f t="shared" si="0"/>
        <v>206.82260346717999</v>
      </c>
    </row>
    <row r="19" spans="1:20" s="32" customFormat="1">
      <c r="A19" s="33"/>
      <c r="B19" s="86"/>
      <c r="C19" s="34"/>
      <c r="D19" s="86"/>
      <c r="E19" s="34"/>
      <c r="F19" s="86"/>
      <c r="G19" s="34"/>
      <c r="H19" s="86"/>
      <c r="I19" s="34"/>
      <c r="J19" s="86"/>
      <c r="K19" s="34"/>
      <c r="L19" s="86"/>
      <c r="M19" s="34"/>
      <c r="N19" s="86"/>
      <c r="O19" s="159"/>
      <c r="P19" s="86"/>
      <c r="Q19" s="34"/>
    </row>
    <row r="20" spans="1:20" s="32" customFormat="1">
      <c r="A20" s="5"/>
      <c r="B20" s="86"/>
      <c r="C20" s="34"/>
      <c r="D20" s="86"/>
      <c r="E20" s="34"/>
      <c r="F20" s="87"/>
      <c r="G20" s="34"/>
      <c r="H20" s="86"/>
      <c r="I20" s="34"/>
      <c r="J20" s="86"/>
      <c r="K20" s="34"/>
      <c r="L20" s="86"/>
      <c r="M20" s="34"/>
      <c r="N20" s="86"/>
      <c r="O20" s="159"/>
      <c r="P20" s="86"/>
      <c r="Q20" s="34"/>
    </row>
    <row r="21" spans="1:20">
      <c r="A21" s="35" t="s">
        <v>20</v>
      </c>
      <c r="B21" s="32"/>
      <c r="C21" s="36"/>
      <c r="D21" s="88"/>
      <c r="E21" s="37"/>
      <c r="F21" s="89"/>
      <c r="G21" s="37"/>
      <c r="H21" s="90"/>
      <c r="I21" s="37"/>
      <c r="J21" s="90"/>
      <c r="K21" s="37"/>
      <c r="L21" s="90"/>
      <c r="M21" s="37"/>
      <c r="N21" s="90"/>
      <c r="O21" s="162"/>
      <c r="P21" s="90"/>
      <c r="Q21" s="37"/>
      <c r="R21" s="32"/>
      <c r="S21" s="32"/>
      <c r="T21" s="32"/>
    </row>
    <row r="22" spans="1:20" s="21" customFormat="1">
      <c r="A22" s="38"/>
      <c r="B22" s="18"/>
      <c r="C22" s="39"/>
      <c r="D22" s="68" t="s">
        <v>43</v>
      </c>
      <c r="E22" s="20"/>
      <c r="F22" s="69" t="s">
        <v>44</v>
      </c>
      <c r="G22" s="20"/>
      <c r="H22" s="68" t="s">
        <v>45</v>
      </c>
      <c r="I22" s="20"/>
      <c r="J22" s="68" t="s">
        <v>46</v>
      </c>
      <c r="K22" s="20"/>
      <c r="L22" s="68" t="s">
        <v>47</v>
      </c>
      <c r="M22" s="20"/>
      <c r="N22" s="91" t="s">
        <v>48</v>
      </c>
      <c r="O22" s="164"/>
      <c r="P22" s="91" t="s">
        <v>49</v>
      </c>
      <c r="Q22" s="92"/>
      <c r="R22" s="18"/>
      <c r="S22" s="18"/>
      <c r="T22" s="18"/>
    </row>
    <row r="23" spans="1:20" s="21" customFormat="1">
      <c r="A23" s="38"/>
      <c r="B23" s="18"/>
      <c r="C23" s="39"/>
      <c r="D23" s="93" t="s">
        <v>50</v>
      </c>
      <c r="E23" s="24" t="s">
        <v>51</v>
      </c>
      <c r="F23" s="72" t="s">
        <v>50</v>
      </c>
      <c r="G23" s="24" t="s">
        <v>51</v>
      </c>
      <c r="H23" s="71" t="s">
        <v>50</v>
      </c>
      <c r="I23" s="24" t="s">
        <v>51</v>
      </c>
      <c r="J23" s="71" t="s">
        <v>50</v>
      </c>
      <c r="K23" s="24" t="s">
        <v>51</v>
      </c>
      <c r="L23" s="71" t="s">
        <v>50</v>
      </c>
      <c r="M23" s="24" t="s">
        <v>51</v>
      </c>
      <c r="N23" s="94" t="s">
        <v>50</v>
      </c>
      <c r="O23" s="165" t="s">
        <v>51</v>
      </c>
      <c r="P23" s="94" t="s">
        <v>50</v>
      </c>
      <c r="Q23" s="95" t="s">
        <v>51</v>
      </c>
      <c r="R23" s="18"/>
      <c r="S23" s="18"/>
      <c r="T23" s="18"/>
    </row>
    <row r="24" spans="1:20">
      <c r="A24" s="178" t="s">
        <v>235</v>
      </c>
      <c r="B24" s="32"/>
      <c r="C24" s="36"/>
      <c r="D24" s="75">
        <f t="shared" ref="D24:E27" si="1">D14+B14</f>
        <v>40</v>
      </c>
      <c r="E24" s="42">
        <f t="shared" si="1"/>
        <v>2621.0717017414554</v>
      </c>
      <c r="F24" s="42">
        <f t="shared" ref="F24:Q27" si="2">F14+D24</f>
        <v>43</v>
      </c>
      <c r="G24" s="42">
        <f t="shared" si="2"/>
        <v>2784.8275923936822</v>
      </c>
      <c r="H24" s="42">
        <f t="shared" si="2"/>
        <v>50</v>
      </c>
      <c r="I24" s="42">
        <f t="shared" si="2"/>
        <v>3366.150346444761</v>
      </c>
      <c r="J24" s="42">
        <f t="shared" si="2"/>
        <v>58</v>
      </c>
      <c r="K24" s="42">
        <f t="shared" si="2"/>
        <v>3866.5911663020775</v>
      </c>
      <c r="L24" s="42">
        <f t="shared" si="2"/>
        <v>61</v>
      </c>
      <c r="M24" s="42">
        <f t="shared" si="2"/>
        <v>3978.0475761979037</v>
      </c>
      <c r="N24" s="44">
        <f t="shared" si="2"/>
        <v>62</v>
      </c>
      <c r="O24" s="98">
        <f t="shared" si="2"/>
        <v>4019.0603726400523</v>
      </c>
      <c r="P24" s="44">
        <f t="shared" si="2"/>
        <v>64</v>
      </c>
      <c r="Q24" s="98">
        <f t="shared" si="2"/>
        <v>4223.7083946035964</v>
      </c>
      <c r="R24" s="32"/>
      <c r="S24" s="32"/>
      <c r="T24" s="32"/>
    </row>
    <row r="25" spans="1:20">
      <c r="A25" s="178" t="s">
        <v>236</v>
      </c>
      <c r="B25" s="32"/>
      <c r="C25" s="36"/>
      <c r="D25" s="75">
        <f t="shared" si="1"/>
        <v>8</v>
      </c>
      <c r="E25" s="42">
        <f t="shared" si="1"/>
        <v>59.851151001705695</v>
      </c>
      <c r="F25" s="42">
        <f t="shared" si="2"/>
        <v>9</v>
      </c>
      <c r="G25" s="42">
        <f t="shared" si="2"/>
        <v>137.12862792158631</v>
      </c>
      <c r="H25" s="42">
        <f t="shared" si="2"/>
        <v>9</v>
      </c>
      <c r="I25" s="42">
        <f t="shared" si="2"/>
        <v>137.12862792158631</v>
      </c>
      <c r="J25" s="42">
        <f t="shared" si="2"/>
        <v>9</v>
      </c>
      <c r="K25" s="42">
        <f t="shared" si="2"/>
        <v>137.12862792158631</v>
      </c>
      <c r="L25" s="42">
        <f t="shared" si="2"/>
        <v>9</v>
      </c>
      <c r="M25" s="42">
        <f t="shared" si="2"/>
        <v>137.12862792158631</v>
      </c>
      <c r="N25" s="44">
        <f t="shared" si="2"/>
        <v>9</v>
      </c>
      <c r="O25" s="98">
        <f t="shared" si="2"/>
        <v>137.12862792158631</v>
      </c>
      <c r="P25" s="44">
        <f t="shared" si="2"/>
        <v>10</v>
      </c>
      <c r="Q25" s="98">
        <f t="shared" si="2"/>
        <v>138.84928566690772</v>
      </c>
      <c r="R25" s="32"/>
      <c r="S25" s="32"/>
      <c r="T25" s="32"/>
    </row>
    <row r="26" spans="1:20">
      <c r="A26" s="178" t="s">
        <v>237</v>
      </c>
      <c r="B26" s="21"/>
      <c r="C26" s="51"/>
      <c r="D26" s="75">
        <f t="shared" si="1"/>
        <v>38</v>
      </c>
      <c r="E26" s="42">
        <f t="shared" si="1"/>
        <v>401.21146483728927</v>
      </c>
      <c r="F26" s="42">
        <f t="shared" si="2"/>
        <v>41</v>
      </c>
      <c r="G26" s="42">
        <f t="shared" si="2"/>
        <v>451.13733521109555</v>
      </c>
      <c r="H26" s="42">
        <f t="shared" si="2"/>
        <v>43</v>
      </c>
      <c r="I26" s="42">
        <f t="shared" si="2"/>
        <v>455.61061182970434</v>
      </c>
      <c r="J26" s="42">
        <f t="shared" si="2"/>
        <v>45</v>
      </c>
      <c r="K26" s="42">
        <f t="shared" si="2"/>
        <v>460.10415821285864</v>
      </c>
      <c r="L26" s="42">
        <f t="shared" si="2"/>
        <v>50</v>
      </c>
      <c r="M26" s="42">
        <f t="shared" si="2"/>
        <v>467.8711931383591</v>
      </c>
      <c r="N26" s="44">
        <f t="shared" si="2"/>
        <v>52</v>
      </c>
      <c r="O26" s="98">
        <f t="shared" si="2"/>
        <v>489.69070825015297</v>
      </c>
      <c r="P26" s="44">
        <f t="shared" si="2"/>
        <v>54</v>
      </c>
      <c r="Q26" s="98">
        <f t="shared" si="2"/>
        <v>490.144632008467</v>
      </c>
      <c r="R26" s="18"/>
      <c r="S26" s="18"/>
      <c r="T26" s="18"/>
    </row>
    <row r="27" spans="1:20">
      <c r="A27" s="178" t="s">
        <v>238</v>
      </c>
      <c r="B27" s="21"/>
      <c r="C27" s="51"/>
      <c r="D27" s="75">
        <f t="shared" si="1"/>
        <v>0</v>
      </c>
      <c r="E27" s="42">
        <f t="shared" si="1"/>
        <v>0</v>
      </c>
      <c r="F27" s="42">
        <f t="shared" si="2"/>
        <v>0</v>
      </c>
      <c r="G27" s="42">
        <f t="shared" si="2"/>
        <v>0</v>
      </c>
      <c r="H27" s="42">
        <f t="shared" si="2"/>
        <v>0</v>
      </c>
      <c r="I27" s="42">
        <f t="shared" si="2"/>
        <v>0</v>
      </c>
      <c r="J27" s="42">
        <f t="shared" si="2"/>
        <v>0</v>
      </c>
      <c r="K27" s="42">
        <f t="shared" si="2"/>
        <v>0</v>
      </c>
      <c r="L27" s="42">
        <f t="shared" si="2"/>
        <v>0</v>
      </c>
      <c r="M27" s="42">
        <f t="shared" si="2"/>
        <v>0</v>
      </c>
      <c r="N27" s="52">
        <f t="shared" si="2"/>
        <v>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18"/>
      <c r="S27" s="18"/>
      <c r="T27" s="18"/>
    </row>
    <row r="28" spans="1:20" s="46" customFormat="1">
      <c r="A28" s="29" t="s">
        <v>19</v>
      </c>
      <c r="B28" s="18"/>
      <c r="C28" s="39"/>
      <c r="D28" s="83">
        <f t="shared" ref="D28:Q28" si="3">SUM(D24:D27)</f>
        <v>86</v>
      </c>
      <c r="E28" s="84">
        <f t="shared" si="3"/>
        <v>3082.1343175804504</v>
      </c>
      <c r="F28" s="83">
        <f t="shared" si="3"/>
        <v>93</v>
      </c>
      <c r="G28" s="84">
        <f t="shared" si="3"/>
        <v>3373.0935555263641</v>
      </c>
      <c r="H28" s="83">
        <f t="shared" si="3"/>
        <v>102</v>
      </c>
      <c r="I28" s="84">
        <f t="shared" si="3"/>
        <v>3958.8895861960518</v>
      </c>
      <c r="J28" s="83">
        <f t="shared" si="3"/>
        <v>112</v>
      </c>
      <c r="K28" s="84">
        <f t="shared" si="3"/>
        <v>4463.8239524365226</v>
      </c>
      <c r="L28" s="83">
        <f t="shared" si="3"/>
        <v>120</v>
      </c>
      <c r="M28" s="84">
        <f t="shared" si="3"/>
        <v>4583.0473972578493</v>
      </c>
      <c r="N28" s="83">
        <f t="shared" si="3"/>
        <v>123</v>
      </c>
      <c r="O28" s="171">
        <f t="shared" si="3"/>
        <v>4645.8797088117917</v>
      </c>
      <c r="P28" s="83">
        <f t="shared" si="3"/>
        <v>128</v>
      </c>
      <c r="Q28" s="84">
        <f t="shared" si="3"/>
        <v>4852.7023122789715</v>
      </c>
      <c r="R28" s="18"/>
      <c r="S28" s="18"/>
      <c r="T28" s="18"/>
    </row>
    <row r="29" spans="1:20" s="46" customFormat="1">
      <c r="A29" s="33"/>
      <c r="B29" s="18"/>
      <c r="C29" s="39"/>
      <c r="D29" s="86"/>
      <c r="E29" s="34"/>
      <c r="F29" s="102"/>
      <c r="G29" s="39"/>
      <c r="H29" s="65"/>
      <c r="I29" s="39"/>
      <c r="J29" s="18"/>
      <c r="K29" s="17"/>
      <c r="L29" s="65"/>
      <c r="M29" s="17"/>
      <c r="N29" s="65"/>
      <c r="O29" s="146"/>
      <c r="P29" s="65"/>
      <c r="Q29" s="17"/>
      <c r="R29" s="18"/>
      <c r="S29" s="18"/>
      <c r="T29" s="18"/>
    </row>
    <row r="30" spans="1:20" s="46" customFormat="1">
      <c r="A30" s="33"/>
      <c r="B30" s="18"/>
      <c r="C30" s="39"/>
      <c r="D30" s="86"/>
      <c r="E30" s="34"/>
      <c r="F30" s="102"/>
      <c r="G30" s="39"/>
      <c r="H30" s="65"/>
      <c r="I30" s="39"/>
      <c r="J30" s="18"/>
      <c r="K30" s="17"/>
      <c r="L30" s="65"/>
      <c r="M30" s="17"/>
      <c r="N30" s="65"/>
      <c r="O30" s="146"/>
      <c r="P30" s="65"/>
      <c r="Q30" s="17"/>
      <c r="R30" s="18"/>
      <c r="S30" s="18"/>
      <c r="T30" s="18"/>
    </row>
    <row r="31" spans="1:20" s="46" customFormat="1">
      <c r="A31" s="33"/>
      <c r="B31" s="18"/>
      <c r="C31" s="39"/>
      <c r="D31" s="86"/>
      <c r="E31" s="34"/>
      <c r="F31" s="102"/>
      <c r="G31" s="39"/>
      <c r="H31" s="65"/>
      <c r="I31" s="39"/>
      <c r="J31" s="18"/>
      <c r="K31" s="17"/>
      <c r="L31" s="65"/>
      <c r="M31" s="17"/>
      <c r="N31" s="65"/>
      <c r="O31" s="146"/>
      <c r="P31" s="65"/>
      <c r="Q31" s="17"/>
      <c r="R31" s="18"/>
      <c r="S31" s="18"/>
      <c r="T31" s="18"/>
    </row>
    <row r="32" spans="1:20">
      <c r="A32" s="103" t="s">
        <v>6</v>
      </c>
      <c r="B32" s="21"/>
      <c r="C32" s="51"/>
      <c r="D32" s="21"/>
      <c r="E32" s="51"/>
      <c r="F32" s="172"/>
      <c r="G32" s="51"/>
      <c r="H32" s="65"/>
      <c r="I32" s="39"/>
      <c r="J32" s="18"/>
      <c r="K32" s="17"/>
      <c r="L32" s="65"/>
      <c r="M32" s="17"/>
      <c r="N32" s="65"/>
      <c r="O32" s="146"/>
      <c r="P32" s="65"/>
      <c r="Q32" s="17"/>
      <c r="R32" s="18"/>
      <c r="S32" s="18"/>
      <c r="T32" s="18"/>
    </row>
    <row r="33" spans="1:20" s="21" customFormat="1">
      <c r="A33" s="14"/>
      <c r="D33" s="106" t="s">
        <v>56</v>
      </c>
      <c r="E33" s="105"/>
      <c r="F33" s="106" t="s">
        <v>57</v>
      </c>
      <c r="G33" s="105"/>
      <c r="H33" s="107" t="s">
        <v>58</v>
      </c>
      <c r="I33" s="105"/>
      <c r="J33" s="106" t="s">
        <v>59</v>
      </c>
      <c r="K33" s="105"/>
      <c r="L33" s="106" t="s">
        <v>60</v>
      </c>
      <c r="M33" s="105"/>
      <c r="N33" s="106" t="s">
        <v>61</v>
      </c>
      <c r="O33" s="105"/>
      <c r="P33" s="106" t="s">
        <v>62</v>
      </c>
      <c r="Q33" s="174"/>
      <c r="T33" s="18"/>
    </row>
    <row r="34" spans="1:20" s="21" customFormat="1">
      <c r="A34" s="14"/>
      <c r="D34" s="118" t="s">
        <v>50</v>
      </c>
      <c r="E34" s="109" t="s">
        <v>51</v>
      </c>
      <c r="F34" s="108" t="s">
        <v>50</v>
      </c>
      <c r="G34" s="109" t="s">
        <v>51</v>
      </c>
      <c r="H34" s="110" t="s">
        <v>50</v>
      </c>
      <c r="I34" s="109" t="s">
        <v>51</v>
      </c>
      <c r="J34" s="108" t="s">
        <v>50</v>
      </c>
      <c r="K34" s="109" t="s">
        <v>51</v>
      </c>
      <c r="L34" s="108" t="s">
        <v>50</v>
      </c>
      <c r="M34" s="109" t="s">
        <v>51</v>
      </c>
      <c r="N34" s="108" t="s">
        <v>50</v>
      </c>
      <c r="O34" s="109" t="s">
        <v>51</v>
      </c>
      <c r="P34" s="108" t="s">
        <v>50</v>
      </c>
      <c r="Q34" s="176" t="s">
        <v>51</v>
      </c>
      <c r="T34" s="18"/>
    </row>
    <row r="35" spans="1:20">
      <c r="A35" s="178" t="s">
        <v>235</v>
      </c>
      <c r="D35" s="113">
        <f>COUNTIFS('[5]IndustrialExposure-shrt fields'!AH:AH, "SLR not in FZ", '[5]IndustrialExposure-shrt fields'!U:U, "Heavy industrial", '[5]IndustrialExposure-shrt fields'!AD:AD, 0)</f>
        <v>0</v>
      </c>
      <c r="E35" s="112">
        <v>0</v>
      </c>
      <c r="F35" s="111">
        <v>0</v>
      </c>
      <c r="G35" s="105">
        <v>0</v>
      </c>
      <c r="H35" s="112">
        <v>0</v>
      </c>
      <c r="I35" s="112">
        <v>0</v>
      </c>
      <c r="J35" s="113">
        <f>COUNTIFS('[5]IndustrialExposure-shrt fields'!AH:AH, "SLR not in FZ", '[5]IndustrialExposure-shrt fields'!U:U, "Heavy industrial", '[5]IndustrialExposure-shrt fields'!AD:AD, 3)</f>
        <v>2</v>
      </c>
      <c r="K35" s="105">
        <f>SUMIFS('[5]IndustrialExposure-shrt fields'!AG:AG,'[5]IndustrialExposure-shrt fields'!AH:AH, "SLR not in FZ", '[5]IndustrialExposure-shrt fields'!U:U, "Heavy industrial", '[5]IndustrialExposure-shrt fields'!AD:AD, 3)</f>
        <v>2.1032955894026633</v>
      </c>
      <c r="L35" s="113">
        <f>COUNTIFS('[5]IndustrialExposure-shrt fields'!AH:AH, "SLR not in FZ", '[5]IndustrialExposure-shrt fields'!U:U, "Heavy industrial", '[5]IndustrialExposure-shrt fields'!AD:AD, 4)</f>
        <v>8</v>
      </c>
      <c r="M35" s="105">
        <f>SUMIFS('[5]IndustrialExposure-shrt fields'!AG:AG,'[5]IndustrialExposure-shrt fields'!AH:AH, "SLR not in FZ", '[5]IndustrialExposure-shrt fields'!U:U, "Heavy industrial", '[5]IndustrialExposure-shrt fields'!AD:AD, 4)</f>
        <v>337.40595561365933</v>
      </c>
      <c r="N35" s="113">
        <f>COUNTIFS('[5]IndustrialExposure-shrt fields'!AH:AH, "SLR not in FZ", '[5]IndustrialExposure-shrt fields'!U:U, "Heavy industrial", '[5]IndustrialExposure-shrt fields'!AD:AD, 5)</f>
        <v>5</v>
      </c>
      <c r="O35" s="105">
        <f>SUMIFS('[5]IndustrialExposure-shrt fields'!AG:AG,'[5]IndustrialExposure-shrt fields'!AH:AH, "SLR not in FZ", '[5]IndustrialExposure-shrt fields'!U:U, "Heavy industrial", '[5]IndustrialExposure-shrt fields'!AD:AD, 5)</f>
        <v>270.2347611444697</v>
      </c>
      <c r="P35" s="113">
        <f>COUNTIFS('[5]IndustrialExposure-shrt fields'!AH:AH, "SLR not in FZ", '[5]IndustrialExposure-shrt fields'!U:U, "Heavy industrial", '[5]IndustrialExposure-shrt fields'!AD:AD, 6)</f>
        <v>5</v>
      </c>
      <c r="Q35" s="174">
        <f>SUMIFS('[5]IndustrialExposure-shrt fields'!AG:AG,'[5]IndustrialExposure-shrt fields'!AH:AH, "SLR not in FZ", '[5]IndustrialExposure-shrt fields'!U:U, "Heavy industrial", '[5]IndustrialExposure-shrt fields'!AD:AD, 6)</f>
        <v>130.31707730744375</v>
      </c>
      <c r="T35" s="18"/>
    </row>
    <row r="36" spans="1:20">
      <c r="A36" s="178" t="s">
        <v>236</v>
      </c>
      <c r="D36" s="113">
        <f>COUNTIFS('[5]IndustrialExposure-shrt fields'!AH:AH, "SLR not in FZ", '[5]IndustrialExposure-shrt fields'!U:U, "Industrial Park (with structures)", '[5]IndustrialExposure-shrt fields'!AD:AD, 0)</f>
        <v>0</v>
      </c>
      <c r="E36" s="112">
        <v>0</v>
      </c>
      <c r="F36" s="111">
        <v>0</v>
      </c>
      <c r="G36" s="105">
        <v>0</v>
      </c>
      <c r="H36" s="112">
        <v>0</v>
      </c>
      <c r="I36" s="112">
        <v>0</v>
      </c>
      <c r="J36" s="113">
        <f>COUNTIFS('[5]IndustrialExposure-shrt fields'!AH:AH, "SLR not in FZ", '[5]IndustrialExposure-shrt fields'!U:U, "Industrial Park (with structures)", '[5]IndustrialExposure-shrt fields'!AD:AD, 3)</f>
        <v>0</v>
      </c>
      <c r="K36" s="112">
        <v>0</v>
      </c>
      <c r="L36" s="113">
        <f>COUNTIFS('[5]IndustrialExposure-shrt fields'!AH:AH, "SLR not in FZ", '[5]IndustrialExposure-shrt fields'!U:U, "Industrial Park (with structures)", '[5]IndustrialExposure-shrt fields'!AD:AD, 4)</f>
        <v>1</v>
      </c>
      <c r="M36" s="105">
        <f>SUMIFS('[5]IndustrialExposure-shrt fields'!AG:AG,'[5]IndustrialExposure-shrt fields'!AH:AH, "SLR not in FZ", '[5]IndustrialExposure-shrt fields'!U:U, "Industrial Park (with structures)", '[5]IndustrialExposure-shrt fields'!AD:AD, 4)</f>
        <v>3.0056736899908172</v>
      </c>
      <c r="N36" s="113">
        <f>COUNTIFS('[5]IndustrialExposure-shrt fields'!AH:AH, "SLR not in FZ", '[5]IndustrialExposure-shrt fields'!U:U, "Industrial Park (with structures)", '[5]IndustrialExposure-shrt fields'!AD:AD, 5)</f>
        <v>9</v>
      </c>
      <c r="O36" s="105">
        <f>SUMIFS('[5]IndustrialExposure-shrt fields'!AG:AG,'[5]IndustrialExposure-shrt fields'!AH:AH, "SLR not in FZ", '[5]IndustrialExposure-shrt fields'!U:U, "Industrial Park (with structures)", '[5]IndustrialExposure-shrt fields'!AD:AD, 5)</f>
        <v>24.343607305328288</v>
      </c>
      <c r="P36" s="113">
        <f>COUNTIFS('[5]IndustrialExposure-shrt fields'!AH:AH, "SLR not in FZ", '[5]IndustrialExposure-shrt fields'!U:U, "Industrial Park (with structures)", '[5]IndustrialExposure-shrt fields'!AD:AD, 6)</f>
        <v>3</v>
      </c>
      <c r="Q36" s="174">
        <f>SUMIFS('[5]IndustrialExposure-shrt fields'!AG:AG,'[5]IndustrialExposure-shrt fields'!AH:AH, "SLR not in FZ", '[5]IndustrialExposure-shrt fields'!U:U, "Industrial Park (with structures)", '[5]IndustrialExposure-shrt fields'!AD:AD, 6)</f>
        <v>11.764458049373278</v>
      </c>
      <c r="T36" s="18"/>
    </row>
    <row r="37" spans="1:20">
      <c r="A37" s="178" t="s">
        <v>237</v>
      </c>
      <c r="D37" s="113">
        <f>COUNTIFS('[5]IndustrialExposure-shrt fields'!AH:AH, "SLR not in FZ", '[5]IndustrialExposure-shrt fields'!U:U, "Light industrial", '[5]IndustrialExposure-shrt fields'!AD:AD, 0)</f>
        <v>1</v>
      </c>
      <c r="E37" s="105">
        <f>SUMIFS('[5]IndustrialExposure-shrt fields'!AG:AG,'[5]IndustrialExposure-shrt fields'!AH:AH, "SLR not in FZ", '[5]IndustrialExposure-shrt fields'!U:U, "Light industrial", '[5]IndustrialExposure-shrt fields'!AD:AD, 0)</f>
        <v>2.7936030872819098</v>
      </c>
      <c r="F37" s="111">
        <v>0</v>
      </c>
      <c r="G37" s="105">
        <v>0</v>
      </c>
      <c r="H37" s="112">
        <v>0</v>
      </c>
      <c r="I37" s="112">
        <v>0</v>
      </c>
      <c r="J37" s="113">
        <f>COUNTIFS('[5]IndustrialExposure-shrt fields'!AH:AH, "SLR not in FZ", '[5]IndustrialExposure-shrt fields'!U:U, "Light industrial", '[5]IndustrialExposure-shrt fields'!AD:AD, 3)</f>
        <v>2</v>
      </c>
      <c r="K37" s="105">
        <f>SUMIFS('[5]IndustrialExposure-shrt fields'!AG:AG,'[5]IndustrialExposure-shrt fields'!AH:AH, "SLR not in FZ", '[5]IndustrialExposure-shrt fields'!U:U, "Light industrial", '[5]IndustrialExposure-shrt fields'!AD:AD, 3)</f>
        <v>1.9276197933126724</v>
      </c>
      <c r="L37" s="113">
        <f>COUNTIFS('[5]IndustrialExposure-shrt fields'!AH:AH, "SLR not in FZ", '[5]IndustrialExposure-shrt fields'!U:U, "Light industrial", '[5]IndustrialExposure-shrt fields'!AD:AD, 4)</f>
        <v>23</v>
      </c>
      <c r="M37" s="105">
        <f>SUMIFS('[5]IndustrialExposure-shrt fields'!AG:AG,'[5]IndustrialExposure-shrt fields'!AH:AH, "SLR not in FZ", '[5]IndustrialExposure-shrt fields'!U:U, "Light industrial", '[5]IndustrialExposure-shrt fields'!AD:AD, 4)</f>
        <v>54.003224884544991</v>
      </c>
      <c r="N37" s="113">
        <f>COUNTIFS('[5]IndustrialExposure-shrt fields'!AH:AH, "SLR not in FZ", '[5]IndustrialExposure-shrt fields'!U:U, "Light industrial", '[5]IndustrialExposure-shrt fields'!AD:AD, 5)</f>
        <v>34</v>
      </c>
      <c r="O37" s="105">
        <f>SUMIFS('[5]IndustrialExposure-shrt fields'!AG:AG,'[5]IndustrialExposure-shrt fields'!AH:AH, "SLR not in FZ", '[5]IndustrialExposure-shrt fields'!U:U, "Light industrial", '[5]IndustrialExposure-shrt fields'!AD:AD, 5)</f>
        <v>51.816836993047737</v>
      </c>
      <c r="P37" s="113">
        <f>COUNTIFS('[5]IndustrialExposure-shrt fields'!AH:AH, "SLR not in FZ", '[5]IndustrialExposure-shrt fields'!U:U, "Light industrial", '[5]IndustrialExposure-shrt fields'!AD:AD, 6)</f>
        <v>35</v>
      </c>
      <c r="Q37" s="174">
        <f>SUMIFS('[5]IndustrialExposure-shrt fields'!AG:AG,'[5]IndustrialExposure-shrt fields'!AH:AH, "SLR not in FZ", '[5]IndustrialExposure-shrt fields'!U:U, "Light industrial", '[5]IndustrialExposure-shrt fields'!AD:AD, 6)</f>
        <v>30.641200089562904</v>
      </c>
      <c r="T37" s="18"/>
    </row>
    <row r="38" spans="1:20">
      <c r="A38" s="178" t="s">
        <v>238</v>
      </c>
      <c r="D38" s="113">
        <f>COUNTIFS('[5]IndustrialExposure-shrt fields'!AH:AH, "SLR not in FZ", '[5]IndustrialExposure-shrt fields'!U:U, "Research and Development, with or without structures", '[5]IndustrialExposure-shrt fields'!AD:AD, 0)</f>
        <v>0</v>
      </c>
      <c r="E38" s="112">
        <v>0</v>
      </c>
      <c r="F38" s="111">
        <v>0</v>
      </c>
      <c r="G38" s="105">
        <v>0</v>
      </c>
      <c r="H38" s="112">
        <v>0</v>
      </c>
      <c r="I38" s="112">
        <v>0</v>
      </c>
      <c r="J38" s="113">
        <f>COUNTIFS('[5]IndustrialExposure-shrt fields'!AH:AH, "SLR not in FZ", '[5]IndustrialExposure-shrt fields'!U:U, "Research and Development, with or without structures", '[5]IndustrialExposure-shrt fields'!AD:AD, 3)</f>
        <v>0</v>
      </c>
      <c r="K38" s="112">
        <v>0</v>
      </c>
      <c r="L38" s="113">
        <f>COUNTIFS('[5]IndustrialExposure-shrt fields'!AH:AH, "SLR not in FZ", '[5]IndustrialExposure-shrt fields'!U:U, "Research and Development, with or without structures", '[5]IndustrialExposure-shrt fields'!AD:AD, 4)</f>
        <v>5</v>
      </c>
      <c r="M38" s="105">
        <f>SUMIFS('[5]IndustrialExposure-shrt fields'!AG:AG,'[5]IndustrialExposure-shrt fields'!AH:AH, "SLR not in FZ", '[5]IndustrialExposure-shrt fields'!U:U, "Research and Development, with or without structures", '[5]IndustrialExposure-shrt fields'!AD:AD, 4)</f>
        <v>45.731119234001383</v>
      </c>
      <c r="N38" s="113">
        <f>COUNTIFS('[5]IndustrialExposure-shrt fields'!AH:AH, "SLR not in FZ", '[5]IndustrialExposure-shrt fields'!U:U, "Research and Development, with or without structures", '[5]IndustrialExposure-shrt fields'!AD:AD, 5)</f>
        <v>2</v>
      </c>
      <c r="O38" s="105">
        <f>SUMIFS('[5]IndustrialExposure-shrt fields'!AG:AG,'[5]IndustrialExposure-shrt fields'!AH:AH, "SLR not in FZ", '[5]IndustrialExposure-shrt fields'!U:U, "Research and Development, with or without structures", '[5]IndustrialExposure-shrt fields'!AD:AD, 5)</f>
        <v>40.758810523622586</v>
      </c>
      <c r="P38" s="113">
        <f>COUNTIFS('[5]IndustrialExposure-shrt fields'!AH:AH, "SLR not in FZ", '[5]IndustrialExposure-shrt fields'!U:U, "Research and Development, with or without structures", '[5]IndustrialExposure-shrt fields'!AD:AD, 6)</f>
        <v>2</v>
      </c>
      <c r="Q38" s="174">
        <f>SUMIFS('[5]IndustrialExposure-shrt fields'!AG:AG,'[5]IndustrialExposure-shrt fields'!AH:AH, "SLR not in FZ", '[5]IndustrialExposure-shrt fields'!U:U, "Research and Development, with or without structures", '[5]IndustrialExposure-shrt fields'!AD:AD, 6)</f>
        <v>4.9508245562442612</v>
      </c>
      <c r="T38" s="18"/>
    </row>
    <row r="39" spans="1:20">
      <c r="A39" s="180" t="s">
        <v>19</v>
      </c>
      <c r="D39" s="116">
        <f t="shared" ref="D39:Q39" si="4">SUM(D35:D38)</f>
        <v>1</v>
      </c>
      <c r="E39" s="115">
        <f t="shared" si="4"/>
        <v>2.7936030872819098</v>
      </c>
      <c r="F39" s="116">
        <f t="shared" si="4"/>
        <v>0</v>
      </c>
      <c r="G39" s="115">
        <f t="shared" si="4"/>
        <v>0</v>
      </c>
      <c r="H39" s="116">
        <f t="shared" si="4"/>
        <v>0</v>
      </c>
      <c r="I39" s="115">
        <f t="shared" si="4"/>
        <v>0</v>
      </c>
      <c r="J39" s="116">
        <f t="shared" si="4"/>
        <v>4</v>
      </c>
      <c r="K39" s="115">
        <f t="shared" si="4"/>
        <v>4.0309153827153352</v>
      </c>
      <c r="L39" s="116">
        <f t="shared" si="4"/>
        <v>37</v>
      </c>
      <c r="M39" s="115">
        <f t="shared" si="4"/>
        <v>440.1459734221965</v>
      </c>
      <c r="N39" s="116">
        <f t="shared" si="4"/>
        <v>50</v>
      </c>
      <c r="O39" s="115">
        <f t="shared" si="4"/>
        <v>387.15401596646831</v>
      </c>
      <c r="P39" s="116">
        <f t="shared" si="4"/>
        <v>45</v>
      </c>
      <c r="Q39" s="182">
        <f t="shared" si="4"/>
        <v>177.67356000262421</v>
      </c>
      <c r="T39" s="18"/>
    </row>
    <row r="40" spans="1:20">
      <c r="F40" s="4"/>
      <c r="H40" s="60"/>
      <c r="O40" s="2"/>
      <c r="Q40" s="140"/>
    </row>
    <row r="41" spans="1:20">
      <c r="F41" s="4"/>
      <c r="H41" s="60"/>
      <c r="O41" s="2"/>
      <c r="Q41" s="140"/>
    </row>
    <row r="42" spans="1:20">
      <c r="A42" s="35" t="s">
        <v>20</v>
      </c>
      <c r="F42" s="4"/>
      <c r="H42" s="60"/>
      <c r="O42" s="2"/>
      <c r="Q42" s="140"/>
    </row>
    <row r="43" spans="1:20">
      <c r="A43" s="38"/>
      <c r="F43" s="106" t="s">
        <v>57</v>
      </c>
      <c r="G43" s="105"/>
      <c r="H43" s="107" t="s">
        <v>58</v>
      </c>
      <c r="I43" s="105"/>
      <c r="J43" s="106" t="s">
        <v>59</v>
      </c>
      <c r="K43" s="105"/>
      <c r="L43" s="106" t="s">
        <v>60</v>
      </c>
      <c r="M43" s="105"/>
      <c r="N43" s="106" t="s">
        <v>61</v>
      </c>
      <c r="O43" s="105"/>
      <c r="P43" s="106" t="s">
        <v>62</v>
      </c>
      <c r="Q43" s="174"/>
    </row>
    <row r="44" spans="1:20">
      <c r="A44" s="38"/>
      <c r="F44" s="118" t="s">
        <v>50</v>
      </c>
      <c r="G44" s="109" t="s">
        <v>51</v>
      </c>
      <c r="H44" s="110" t="s">
        <v>50</v>
      </c>
      <c r="I44" s="109" t="s">
        <v>51</v>
      </c>
      <c r="J44" s="108" t="s">
        <v>50</v>
      </c>
      <c r="K44" s="109" t="s">
        <v>51</v>
      </c>
      <c r="L44" s="108" t="s">
        <v>50</v>
      </c>
      <c r="M44" s="109" t="s">
        <v>51</v>
      </c>
      <c r="N44" s="108" t="s">
        <v>50</v>
      </c>
      <c r="O44" s="109" t="s">
        <v>51</v>
      </c>
      <c r="P44" s="108" t="s">
        <v>50</v>
      </c>
      <c r="Q44" s="176" t="s">
        <v>51</v>
      </c>
    </row>
    <row r="45" spans="1:20">
      <c r="A45" s="178" t="s">
        <v>235</v>
      </c>
      <c r="F45" s="113">
        <f t="shared" ref="F45:G48" si="5">F35+D35</f>
        <v>0</v>
      </c>
      <c r="G45" s="105">
        <f t="shared" si="5"/>
        <v>0</v>
      </c>
      <c r="H45" s="112">
        <f t="shared" ref="H45:Q48" si="6">H35+F45</f>
        <v>0</v>
      </c>
      <c r="I45" s="105">
        <f t="shared" si="6"/>
        <v>0</v>
      </c>
      <c r="J45" s="113">
        <f t="shared" si="6"/>
        <v>2</v>
      </c>
      <c r="K45" s="105">
        <f t="shared" si="6"/>
        <v>2.1032955894026633</v>
      </c>
      <c r="L45" s="113">
        <f t="shared" si="6"/>
        <v>10</v>
      </c>
      <c r="M45" s="105">
        <f t="shared" si="6"/>
        <v>339.50925120306198</v>
      </c>
      <c r="N45" s="113">
        <f t="shared" si="6"/>
        <v>15</v>
      </c>
      <c r="O45" s="105">
        <f t="shared" si="6"/>
        <v>609.74401234753168</v>
      </c>
      <c r="P45" s="113">
        <f t="shared" si="6"/>
        <v>20</v>
      </c>
      <c r="Q45" s="174">
        <f t="shared" si="6"/>
        <v>740.06108965497538</v>
      </c>
    </row>
    <row r="46" spans="1:20">
      <c r="A46" s="178" t="s">
        <v>236</v>
      </c>
      <c r="F46" s="113">
        <f t="shared" si="5"/>
        <v>0</v>
      </c>
      <c r="G46" s="105">
        <f t="shared" si="5"/>
        <v>0</v>
      </c>
      <c r="H46" s="112">
        <f t="shared" si="6"/>
        <v>0</v>
      </c>
      <c r="I46" s="105">
        <f t="shared" si="6"/>
        <v>0</v>
      </c>
      <c r="J46" s="113">
        <f t="shared" si="6"/>
        <v>0</v>
      </c>
      <c r="K46" s="105">
        <f t="shared" si="6"/>
        <v>0</v>
      </c>
      <c r="L46" s="113">
        <f t="shared" si="6"/>
        <v>1</v>
      </c>
      <c r="M46" s="105">
        <f t="shared" si="6"/>
        <v>3.0056736899908172</v>
      </c>
      <c r="N46" s="113">
        <f t="shared" si="6"/>
        <v>10</v>
      </c>
      <c r="O46" s="105">
        <f t="shared" si="6"/>
        <v>27.349280995319106</v>
      </c>
      <c r="P46" s="113">
        <f t="shared" si="6"/>
        <v>13</v>
      </c>
      <c r="Q46" s="174">
        <f t="shared" si="6"/>
        <v>39.11373904469238</v>
      </c>
    </row>
    <row r="47" spans="1:20">
      <c r="A47" s="178" t="s">
        <v>237</v>
      </c>
      <c r="F47" s="113">
        <f t="shared" si="5"/>
        <v>1</v>
      </c>
      <c r="G47" s="105">
        <f t="shared" si="5"/>
        <v>2.7936030872819098</v>
      </c>
      <c r="H47" s="112">
        <f t="shared" si="6"/>
        <v>1</v>
      </c>
      <c r="I47" s="105">
        <f t="shared" si="6"/>
        <v>2.7936030872819098</v>
      </c>
      <c r="J47" s="113">
        <f t="shared" si="6"/>
        <v>3</v>
      </c>
      <c r="K47" s="105">
        <f t="shared" si="6"/>
        <v>4.7212228805945822</v>
      </c>
      <c r="L47" s="113">
        <f t="shared" si="6"/>
        <v>26</v>
      </c>
      <c r="M47" s="105">
        <f t="shared" si="6"/>
        <v>58.724447765139573</v>
      </c>
      <c r="N47" s="113">
        <f t="shared" si="6"/>
        <v>60</v>
      </c>
      <c r="O47" s="105">
        <f t="shared" si="6"/>
        <v>110.54128475818732</v>
      </c>
      <c r="P47" s="113">
        <f t="shared" si="6"/>
        <v>95</v>
      </c>
      <c r="Q47" s="174">
        <f t="shared" si="6"/>
        <v>141.18248484775023</v>
      </c>
    </row>
    <row r="48" spans="1:20">
      <c r="A48" s="178" t="s">
        <v>238</v>
      </c>
      <c r="F48" s="113">
        <f t="shared" si="5"/>
        <v>0</v>
      </c>
      <c r="G48" s="105">
        <f t="shared" si="5"/>
        <v>0</v>
      </c>
      <c r="H48" s="112">
        <f t="shared" si="6"/>
        <v>0</v>
      </c>
      <c r="I48" s="105">
        <f t="shared" si="6"/>
        <v>0</v>
      </c>
      <c r="J48" s="113">
        <f t="shared" si="6"/>
        <v>0</v>
      </c>
      <c r="K48" s="105">
        <f t="shared" si="6"/>
        <v>0</v>
      </c>
      <c r="L48" s="113">
        <f t="shared" si="6"/>
        <v>5</v>
      </c>
      <c r="M48" s="105">
        <f t="shared" si="6"/>
        <v>45.731119234001383</v>
      </c>
      <c r="N48" s="113">
        <f t="shared" si="6"/>
        <v>7</v>
      </c>
      <c r="O48" s="105">
        <f t="shared" si="6"/>
        <v>86.489929757623969</v>
      </c>
      <c r="P48" s="113">
        <f t="shared" si="6"/>
        <v>9</v>
      </c>
      <c r="Q48" s="174">
        <f t="shared" si="6"/>
        <v>91.440754313868226</v>
      </c>
    </row>
    <row r="49" spans="1:17">
      <c r="A49" s="180" t="s">
        <v>19</v>
      </c>
      <c r="F49" s="116">
        <f t="shared" ref="F49:Q49" si="7">SUM(F45:F48)</f>
        <v>1</v>
      </c>
      <c r="G49" s="115">
        <f t="shared" si="7"/>
        <v>2.7936030872819098</v>
      </c>
      <c r="H49" s="116">
        <f t="shared" si="7"/>
        <v>1</v>
      </c>
      <c r="I49" s="115">
        <f t="shared" si="7"/>
        <v>2.7936030872819098</v>
      </c>
      <c r="J49" s="116">
        <f t="shared" si="7"/>
        <v>5</v>
      </c>
      <c r="K49" s="115">
        <f t="shared" si="7"/>
        <v>6.8245184699972459</v>
      </c>
      <c r="L49" s="116">
        <f t="shared" si="7"/>
        <v>42</v>
      </c>
      <c r="M49" s="115">
        <f t="shared" si="7"/>
        <v>446.97049189219376</v>
      </c>
      <c r="N49" s="116">
        <f t="shared" si="7"/>
        <v>92</v>
      </c>
      <c r="O49" s="115">
        <f t="shared" si="7"/>
        <v>834.12450785866201</v>
      </c>
      <c r="P49" s="116">
        <f t="shared" si="7"/>
        <v>137</v>
      </c>
      <c r="Q49" s="182">
        <f t="shared" si="7"/>
        <v>1011.7980678612862</v>
      </c>
    </row>
    <row r="50" spans="1:17">
      <c r="A50" s="183"/>
      <c r="F50" s="4"/>
      <c r="H50" s="60"/>
      <c r="O50" s="2"/>
      <c r="Q50" s="140"/>
    </row>
    <row r="51" spans="1:17">
      <c r="A51" s="183"/>
      <c r="F51" s="4"/>
      <c r="H51" s="60"/>
      <c r="O51" s="2"/>
      <c r="Q51" s="140"/>
    </row>
    <row r="52" spans="1:17">
      <c r="A52" s="183"/>
      <c r="F52" s="4"/>
      <c r="H52" s="60"/>
      <c r="O52" s="2"/>
      <c r="Q52" s="140"/>
    </row>
    <row r="53" spans="1:17" s="8" customFormat="1">
      <c r="A53" s="103" t="s">
        <v>6</v>
      </c>
      <c r="E53" s="62"/>
      <c r="G53" s="62"/>
      <c r="H53" s="63"/>
      <c r="I53" s="62"/>
      <c r="K53" s="62"/>
      <c r="M53" s="62"/>
      <c r="O53" s="62"/>
      <c r="Q53" s="142"/>
    </row>
    <row r="54" spans="1:17">
      <c r="D54" s="119" t="s">
        <v>63</v>
      </c>
      <c r="E54" s="120"/>
      <c r="F54" s="119" t="s">
        <v>64</v>
      </c>
      <c r="G54" s="120"/>
      <c r="H54" s="121" t="s">
        <v>65</v>
      </c>
      <c r="I54" s="122"/>
      <c r="J54" s="121" t="s">
        <v>66</v>
      </c>
      <c r="K54" s="122"/>
      <c r="L54" s="119" t="s">
        <v>67</v>
      </c>
      <c r="M54" s="120"/>
      <c r="N54" s="119" t="s">
        <v>68</v>
      </c>
      <c r="O54" s="120"/>
      <c r="P54" s="119" t="s">
        <v>69</v>
      </c>
      <c r="Q54" s="185"/>
    </row>
    <row r="55" spans="1:17">
      <c r="D55" s="136" t="s">
        <v>50</v>
      </c>
      <c r="E55" s="124" t="s">
        <v>51</v>
      </c>
      <c r="F55" s="123" t="s">
        <v>50</v>
      </c>
      <c r="G55" s="124" t="s">
        <v>51</v>
      </c>
      <c r="H55" s="125" t="s">
        <v>50</v>
      </c>
      <c r="I55" s="126" t="s">
        <v>51</v>
      </c>
      <c r="J55" s="125" t="s">
        <v>50</v>
      </c>
      <c r="K55" s="126" t="s">
        <v>51</v>
      </c>
      <c r="L55" s="123" t="s">
        <v>50</v>
      </c>
      <c r="M55" s="124" t="s">
        <v>51</v>
      </c>
      <c r="N55" s="123" t="s">
        <v>50</v>
      </c>
      <c r="O55" s="124" t="s">
        <v>51</v>
      </c>
      <c r="P55" s="123" t="s">
        <v>50</v>
      </c>
      <c r="Q55" s="187" t="s">
        <v>51</v>
      </c>
    </row>
    <row r="56" spans="1:17">
      <c r="A56" s="178" t="s">
        <v>235</v>
      </c>
      <c r="D56" s="136">
        <v>0</v>
      </c>
      <c r="E56" s="276">
        <v>0</v>
      </c>
      <c r="F56" s="128">
        <v>0</v>
      </c>
      <c r="G56" s="276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f>COUNTIFS('[5]IndustrialExposure-shrt fields'!AH:AH, "SLR Adjacent", '[5]IndustrialExposure-shrt fields'!U:U, "Heavy industrial", '[5]IndustrialExposure-shrt fields'!AE:AE, 6)</f>
        <v>0</v>
      </c>
      <c r="Q56" s="276">
        <v>0</v>
      </c>
    </row>
    <row r="57" spans="1:17">
      <c r="A57" s="178" t="s">
        <v>236</v>
      </c>
      <c r="D57" s="136">
        <v>0</v>
      </c>
      <c r="E57" s="276">
        <v>0</v>
      </c>
      <c r="F57" s="128">
        <v>0</v>
      </c>
      <c r="G57" s="276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f>COUNTIFS('[5]IndustrialExposure-shrt fields'!AH:AH, "SLR Adjacent", '[5]IndustrialExposure-shrt fields'!U:U, "Industrial Park (with structures)", '[5]IndustrialExposure-shrt fields'!AE:AE, 6)</f>
        <v>0</v>
      </c>
      <c r="Q57" s="276">
        <v>0</v>
      </c>
    </row>
    <row r="58" spans="1:17">
      <c r="A58" s="178" t="s">
        <v>237</v>
      </c>
      <c r="D58" s="136">
        <v>0</v>
      </c>
      <c r="E58" s="276">
        <v>0</v>
      </c>
      <c r="F58" s="128">
        <v>0</v>
      </c>
      <c r="G58" s="276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f>COUNTIFS('[5]IndustrialExposure-shrt fields'!AH:AH, "SLR Adjacent", '[5]IndustrialExposure-shrt fields'!U:U, "Light industrial", '[5]IndustrialExposure-shrt fields'!AE:AE, 6)</f>
        <v>12</v>
      </c>
      <c r="Q58" s="188">
        <f>SUMIFS('[5]IndustrialExposure-shrt fields'!AG:AG,'[5]IndustrialExposure-shrt fields'!AH:AH, "SLR Adjacent", '[5]IndustrialExposure-shrt fields'!U:U, "Light industrial", '[5]IndustrialExposure-shrt fields'!AE:AE, 6)</f>
        <v>70.2229111910124</v>
      </c>
    </row>
    <row r="59" spans="1:17">
      <c r="A59" s="178" t="s">
        <v>238</v>
      </c>
      <c r="D59" s="136">
        <v>0</v>
      </c>
      <c r="E59" s="276">
        <v>0</v>
      </c>
      <c r="F59" s="128">
        <v>0</v>
      </c>
      <c r="G59" s="276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f>COUNTIFS('[5]IndustrialExposure-shrt fields'!AH:AH, "SLR Adjacent", '[5]IndustrialExposure-shrt fields'!U:U, "Research and Development, with or without structures", '[5]IndustrialExposure-shrt fields'!AE:AE, 6)</f>
        <v>0</v>
      </c>
      <c r="Q59" s="276">
        <v>0</v>
      </c>
    </row>
    <row r="60" spans="1:17">
      <c r="A60" s="180" t="s">
        <v>19</v>
      </c>
      <c r="D60" s="137">
        <f t="shared" ref="D60:Q60" si="8">SUM(D56:D59)</f>
        <v>0</v>
      </c>
      <c r="E60" s="135">
        <f t="shared" si="8"/>
        <v>0</v>
      </c>
      <c r="F60" s="134">
        <f t="shared" si="8"/>
        <v>0</v>
      </c>
      <c r="G60" s="135">
        <f t="shared" si="8"/>
        <v>0</v>
      </c>
      <c r="H60" s="134">
        <f t="shared" si="8"/>
        <v>0</v>
      </c>
      <c r="I60" s="135">
        <f t="shared" si="8"/>
        <v>0</v>
      </c>
      <c r="J60" s="134">
        <f t="shared" si="8"/>
        <v>0</v>
      </c>
      <c r="K60" s="135">
        <f t="shared" si="8"/>
        <v>0</v>
      </c>
      <c r="L60" s="134">
        <f t="shared" si="8"/>
        <v>0</v>
      </c>
      <c r="M60" s="135">
        <f t="shared" si="8"/>
        <v>0</v>
      </c>
      <c r="N60" s="134">
        <f t="shared" si="8"/>
        <v>0</v>
      </c>
      <c r="O60" s="135">
        <f t="shared" si="8"/>
        <v>0</v>
      </c>
      <c r="P60" s="134">
        <f t="shared" si="8"/>
        <v>12</v>
      </c>
      <c r="Q60" s="191">
        <f t="shared" si="8"/>
        <v>70.2229111910124</v>
      </c>
    </row>
    <row r="61" spans="1:17" s="46" customFormat="1">
      <c r="A61" s="33"/>
      <c r="D61" s="192"/>
      <c r="E61" s="194"/>
      <c r="F61" s="192"/>
      <c r="G61" s="194"/>
      <c r="H61" s="192"/>
      <c r="I61" s="194"/>
      <c r="J61" s="192"/>
      <c r="K61" s="194"/>
      <c r="L61" s="192"/>
      <c r="M61" s="194"/>
      <c r="N61" s="192"/>
      <c r="O61" s="194"/>
      <c r="P61" s="192"/>
      <c r="Q61" s="195"/>
    </row>
    <row r="62" spans="1:17">
      <c r="F62" s="4"/>
      <c r="H62" s="60"/>
      <c r="O62" s="2"/>
      <c r="Q62" s="140"/>
    </row>
    <row r="63" spans="1:17">
      <c r="A63" s="35" t="s">
        <v>20</v>
      </c>
      <c r="F63" s="4"/>
      <c r="H63" s="60"/>
      <c r="O63" s="2"/>
      <c r="Q63" s="140"/>
    </row>
    <row r="64" spans="1:17">
      <c r="A64" s="38"/>
      <c r="F64" s="119" t="s">
        <v>64</v>
      </c>
      <c r="G64" s="120"/>
      <c r="H64" s="121" t="s">
        <v>65</v>
      </c>
      <c r="I64" s="122"/>
      <c r="J64" s="121" t="s">
        <v>66</v>
      </c>
      <c r="K64" s="122"/>
      <c r="L64" s="119" t="s">
        <v>67</v>
      </c>
      <c r="M64" s="120"/>
      <c r="N64" s="119" t="s">
        <v>68</v>
      </c>
      <c r="O64" s="120"/>
      <c r="P64" s="119" t="s">
        <v>69</v>
      </c>
      <c r="Q64" s="185"/>
    </row>
    <row r="65" spans="1:17">
      <c r="A65" s="38"/>
      <c r="F65" s="136" t="s">
        <v>50</v>
      </c>
      <c r="G65" s="124" t="s">
        <v>51</v>
      </c>
      <c r="H65" s="125" t="s">
        <v>50</v>
      </c>
      <c r="I65" s="126" t="s">
        <v>51</v>
      </c>
      <c r="J65" s="125" t="s">
        <v>50</v>
      </c>
      <c r="K65" s="126" t="s">
        <v>51</v>
      </c>
      <c r="L65" s="123" t="s">
        <v>50</v>
      </c>
      <c r="M65" s="124" t="s">
        <v>51</v>
      </c>
      <c r="N65" s="123" t="s">
        <v>50</v>
      </c>
      <c r="O65" s="124" t="s">
        <v>51</v>
      </c>
      <c r="P65" s="123" t="s">
        <v>50</v>
      </c>
      <c r="Q65" s="187" t="s">
        <v>51</v>
      </c>
    </row>
    <row r="66" spans="1:17">
      <c r="A66" s="178" t="s">
        <v>235</v>
      </c>
      <c r="F66" s="136">
        <f t="shared" ref="F66:G69" si="9">F56+D56</f>
        <v>0</v>
      </c>
      <c r="G66" s="129">
        <f t="shared" si="9"/>
        <v>0</v>
      </c>
      <c r="H66" s="125">
        <f t="shared" ref="H66:Q69" si="10">H56+F66</f>
        <v>0</v>
      </c>
      <c r="I66" s="126">
        <f t="shared" si="10"/>
        <v>0</v>
      </c>
      <c r="J66" s="125">
        <f t="shared" si="10"/>
        <v>0</v>
      </c>
      <c r="K66" s="126">
        <f t="shared" si="10"/>
        <v>0</v>
      </c>
      <c r="L66" s="128">
        <f t="shared" si="10"/>
        <v>0</v>
      </c>
      <c r="M66" s="129">
        <f t="shared" si="10"/>
        <v>0</v>
      </c>
      <c r="N66" s="128">
        <f t="shared" si="10"/>
        <v>0</v>
      </c>
      <c r="O66" s="129">
        <f t="shared" si="10"/>
        <v>0</v>
      </c>
      <c r="P66" s="128">
        <f t="shared" si="10"/>
        <v>0</v>
      </c>
      <c r="Q66" s="131">
        <f t="shared" si="10"/>
        <v>0</v>
      </c>
    </row>
    <row r="67" spans="1:17">
      <c r="A67" s="178" t="s">
        <v>239</v>
      </c>
      <c r="F67" s="136">
        <f t="shared" si="9"/>
        <v>0</v>
      </c>
      <c r="G67" s="129">
        <f t="shared" si="9"/>
        <v>0</v>
      </c>
      <c r="H67" s="125">
        <f t="shared" si="10"/>
        <v>0</v>
      </c>
      <c r="I67" s="126">
        <f t="shared" si="10"/>
        <v>0</v>
      </c>
      <c r="J67" s="125">
        <f t="shared" si="10"/>
        <v>0</v>
      </c>
      <c r="K67" s="126">
        <f t="shared" si="10"/>
        <v>0</v>
      </c>
      <c r="L67" s="128">
        <f t="shared" si="10"/>
        <v>0</v>
      </c>
      <c r="M67" s="129">
        <f t="shared" si="10"/>
        <v>0</v>
      </c>
      <c r="N67" s="128">
        <f t="shared" si="10"/>
        <v>0</v>
      </c>
      <c r="O67" s="129">
        <f t="shared" si="10"/>
        <v>0</v>
      </c>
      <c r="P67" s="128">
        <f t="shared" si="10"/>
        <v>0</v>
      </c>
      <c r="Q67" s="131">
        <f t="shared" si="10"/>
        <v>0</v>
      </c>
    </row>
    <row r="68" spans="1:17">
      <c r="A68" s="178" t="s">
        <v>237</v>
      </c>
      <c r="F68" s="136">
        <f t="shared" si="9"/>
        <v>0</v>
      </c>
      <c r="G68" s="129">
        <f t="shared" si="9"/>
        <v>0</v>
      </c>
      <c r="H68" s="125">
        <f t="shared" si="10"/>
        <v>0</v>
      </c>
      <c r="I68" s="126">
        <f t="shared" si="10"/>
        <v>0</v>
      </c>
      <c r="J68" s="125">
        <f t="shared" si="10"/>
        <v>0</v>
      </c>
      <c r="K68" s="126">
        <f t="shared" si="10"/>
        <v>0</v>
      </c>
      <c r="L68" s="128">
        <f t="shared" si="10"/>
        <v>0</v>
      </c>
      <c r="M68" s="129">
        <f t="shared" si="10"/>
        <v>0</v>
      </c>
      <c r="N68" s="128">
        <f t="shared" si="10"/>
        <v>0</v>
      </c>
      <c r="O68" s="129">
        <f t="shared" si="10"/>
        <v>0</v>
      </c>
      <c r="P68" s="128">
        <f t="shared" si="10"/>
        <v>12</v>
      </c>
      <c r="Q68" s="131">
        <f t="shared" si="10"/>
        <v>70.2229111910124</v>
      </c>
    </row>
    <row r="69" spans="1:17">
      <c r="A69" s="178" t="s">
        <v>238</v>
      </c>
      <c r="F69" s="136">
        <f t="shared" si="9"/>
        <v>0</v>
      </c>
      <c r="G69" s="129">
        <f t="shared" si="9"/>
        <v>0</v>
      </c>
      <c r="H69" s="125">
        <f t="shared" si="10"/>
        <v>0</v>
      </c>
      <c r="I69" s="197">
        <f t="shared" si="10"/>
        <v>0</v>
      </c>
      <c r="J69" s="198">
        <f t="shared" si="10"/>
        <v>0</v>
      </c>
      <c r="K69" s="197">
        <f t="shared" si="10"/>
        <v>0</v>
      </c>
      <c r="L69" s="136">
        <f t="shared" si="10"/>
        <v>0</v>
      </c>
      <c r="M69" s="199">
        <f t="shared" si="10"/>
        <v>0</v>
      </c>
      <c r="N69" s="136">
        <f t="shared" si="10"/>
        <v>0</v>
      </c>
      <c r="O69" s="199">
        <f t="shared" si="10"/>
        <v>0</v>
      </c>
      <c r="P69" s="136">
        <f t="shared" si="10"/>
        <v>0</v>
      </c>
      <c r="Q69" s="277">
        <f t="shared" si="10"/>
        <v>0</v>
      </c>
    </row>
    <row r="70" spans="1:17">
      <c r="A70" s="180" t="s">
        <v>19</v>
      </c>
      <c r="F70" s="137">
        <f t="shared" ref="F70:O70" si="11">SUM(F66:F69)</f>
        <v>0</v>
      </c>
      <c r="G70" s="138">
        <f t="shared" si="11"/>
        <v>0</v>
      </c>
      <c r="H70" s="137">
        <f t="shared" si="11"/>
        <v>0</v>
      </c>
      <c r="I70" s="138">
        <f t="shared" si="11"/>
        <v>0</v>
      </c>
      <c r="J70" s="137">
        <f t="shared" si="11"/>
        <v>0</v>
      </c>
      <c r="K70" s="138">
        <f t="shared" si="11"/>
        <v>0</v>
      </c>
      <c r="L70" s="137">
        <f t="shared" si="11"/>
        <v>0</v>
      </c>
      <c r="M70" s="138">
        <f t="shared" si="11"/>
        <v>0</v>
      </c>
      <c r="N70" s="137">
        <f t="shared" si="11"/>
        <v>0</v>
      </c>
      <c r="O70" s="138">
        <f t="shared" si="11"/>
        <v>0</v>
      </c>
      <c r="P70" s="137">
        <f>SUM(P66:P69)</f>
        <v>12</v>
      </c>
      <c r="Q70" s="137">
        <f>SUM(Q66:Q69)</f>
        <v>70.2229111910124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A31" sqref="A31"/>
    </sheetView>
  </sheetViews>
  <sheetFormatPr baseColWidth="10" defaultColWidth="30" defaultRowHeight="14" x14ac:dyDescent="0"/>
  <cols>
    <col min="1" max="1" width="30" style="12"/>
    <col min="2" max="2" width="28.6640625" style="12" customWidth="1"/>
    <col min="3" max="3" width="12.5" style="12" customWidth="1"/>
    <col min="4" max="4" width="28.83203125" style="12" customWidth="1"/>
    <col min="5" max="5" width="13.83203125" style="270" customWidth="1"/>
    <col min="6" max="6" width="24.5" style="12" bestFit="1" customWidth="1"/>
    <col min="7" max="7" width="20.1640625" style="12" bestFit="1" customWidth="1"/>
    <col min="8" max="8" width="14" style="12" bestFit="1" customWidth="1"/>
    <col min="9" max="16384" width="30" style="12"/>
  </cols>
  <sheetData>
    <row r="1" spans="1:8" ht="36">
      <c r="A1" s="267" t="s">
        <v>174</v>
      </c>
      <c r="B1" s="268" t="s">
        <v>175</v>
      </c>
      <c r="C1" s="267" t="s">
        <v>176</v>
      </c>
      <c r="D1" s="267" t="s">
        <v>177</v>
      </c>
      <c r="E1" s="267" t="s">
        <v>178</v>
      </c>
      <c r="F1" s="267" t="s">
        <v>179</v>
      </c>
      <c r="G1" s="267" t="s">
        <v>180</v>
      </c>
      <c r="H1" s="267" t="s">
        <v>181</v>
      </c>
    </row>
    <row r="2" spans="1:8" ht="28">
      <c r="A2" s="232" t="s">
        <v>182</v>
      </c>
      <c r="B2" s="269" t="s">
        <v>183</v>
      </c>
      <c r="C2" s="232" t="s">
        <v>184</v>
      </c>
      <c r="D2" s="269" t="s">
        <v>185</v>
      </c>
      <c r="E2" s="270">
        <v>32.14</v>
      </c>
      <c r="F2" s="271" t="s">
        <v>186</v>
      </c>
      <c r="G2" s="271">
        <v>3</v>
      </c>
      <c r="H2" s="271">
        <v>2</v>
      </c>
    </row>
    <row r="3" spans="1:8">
      <c r="A3" s="232" t="s">
        <v>187</v>
      </c>
      <c r="B3" s="269" t="s">
        <v>188</v>
      </c>
      <c r="C3" s="232" t="s">
        <v>189</v>
      </c>
      <c r="D3" s="269" t="s">
        <v>190</v>
      </c>
      <c r="E3" s="270">
        <v>213.577</v>
      </c>
      <c r="F3" s="271" t="s">
        <v>191</v>
      </c>
      <c r="G3" s="271">
        <v>5</v>
      </c>
      <c r="H3" s="271">
        <v>5</v>
      </c>
    </row>
    <row r="4" spans="1:8">
      <c r="A4" s="232" t="s">
        <v>192</v>
      </c>
      <c r="B4" s="269" t="s">
        <v>193</v>
      </c>
      <c r="C4" s="232" t="s">
        <v>26</v>
      </c>
      <c r="D4" s="269" t="s">
        <v>194</v>
      </c>
      <c r="E4" s="270">
        <v>294.92</v>
      </c>
      <c r="F4" s="271" t="s">
        <v>195</v>
      </c>
      <c r="G4" s="271">
        <v>2</v>
      </c>
      <c r="H4" s="271">
        <v>3</v>
      </c>
    </row>
    <row r="5" spans="1:8">
      <c r="A5" s="232" t="s">
        <v>192</v>
      </c>
      <c r="B5" s="269" t="s">
        <v>193</v>
      </c>
      <c r="C5" s="232" t="s">
        <v>26</v>
      </c>
      <c r="D5" s="269" t="s">
        <v>194</v>
      </c>
      <c r="E5" s="270">
        <v>34.527000000000001</v>
      </c>
      <c r="F5" s="271" t="s">
        <v>195</v>
      </c>
      <c r="G5" s="271">
        <v>2</v>
      </c>
      <c r="H5" s="271">
        <v>3</v>
      </c>
    </row>
    <row r="6" spans="1:8" ht="28">
      <c r="A6" s="232" t="s">
        <v>196</v>
      </c>
      <c r="B6" s="269" t="s">
        <v>183</v>
      </c>
      <c r="C6" s="232" t="s">
        <v>184</v>
      </c>
      <c r="D6" s="269" t="s">
        <v>190</v>
      </c>
      <c r="E6" s="270">
        <v>178.06399999999999</v>
      </c>
      <c r="F6" s="271" t="s">
        <v>186</v>
      </c>
      <c r="G6" s="271">
        <v>1</v>
      </c>
      <c r="H6" s="271">
        <v>0</v>
      </c>
    </row>
    <row r="7" spans="1:8">
      <c r="A7" s="232" t="s">
        <v>197</v>
      </c>
      <c r="B7" s="269" t="s">
        <v>198</v>
      </c>
      <c r="C7" s="232" t="s">
        <v>199</v>
      </c>
      <c r="D7" s="269" t="s">
        <v>200</v>
      </c>
      <c r="E7" s="270">
        <v>7.9429999999999996</v>
      </c>
      <c r="F7" s="271" t="s">
        <v>191</v>
      </c>
      <c r="G7" s="271">
        <v>3</v>
      </c>
      <c r="H7" s="271">
        <v>4</v>
      </c>
    </row>
    <row r="8" spans="1:8">
      <c r="A8" s="232" t="s">
        <v>201</v>
      </c>
      <c r="B8" s="269" t="s">
        <v>202</v>
      </c>
      <c r="C8" s="232" t="s">
        <v>26</v>
      </c>
      <c r="D8" s="269" t="s">
        <v>203</v>
      </c>
      <c r="E8" s="270">
        <v>185.91</v>
      </c>
      <c r="F8" s="271" t="s">
        <v>204</v>
      </c>
      <c r="G8" s="271" t="s">
        <v>191</v>
      </c>
      <c r="H8" s="271" t="s">
        <v>191</v>
      </c>
    </row>
    <row r="9" spans="1:8" ht="42">
      <c r="A9" s="232" t="s">
        <v>205</v>
      </c>
      <c r="B9" s="269" t="s">
        <v>206</v>
      </c>
      <c r="C9" s="232" t="s">
        <v>26</v>
      </c>
      <c r="D9" s="269" t="s">
        <v>207</v>
      </c>
      <c r="E9" s="270">
        <v>13.61</v>
      </c>
      <c r="F9" s="271" t="s">
        <v>186</v>
      </c>
      <c r="G9" s="271" t="s">
        <v>191</v>
      </c>
      <c r="H9" s="271">
        <v>3</v>
      </c>
    </row>
    <row r="10" spans="1:8" ht="42">
      <c r="A10" s="232" t="s">
        <v>205</v>
      </c>
      <c r="B10" s="269" t="s">
        <v>206</v>
      </c>
      <c r="C10" s="232" t="s">
        <v>26</v>
      </c>
      <c r="D10" s="269" t="s">
        <v>207</v>
      </c>
      <c r="E10" s="270">
        <v>1.99</v>
      </c>
      <c r="F10" s="271" t="s">
        <v>186</v>
      </c>
      <c r="G10" s="271" t="s">
        <v>191</v>
      </c>
      <c r="H10" s="271">
        <v>3</v>
      </c>
    </row>
    <row r="11" spans="1:8" ht="28">
      <c r="A11" s="232" t="s">
        <v>208</v>
      </c>
      <c r="B11" s="269" t="s">
        <v>206</v>
      </c>
      <c r="C11" s="232" t="s">
        <v>189</v>
      </c>
      <c r="D11" s="269" t="s">
        <v>209</v>
      </c>
      <c r="E11" s="270">
        <v>40.39</v>
      </c>
      <c r="F11" s="271" t="s">
        <v>210</v>
      </c>
      <c r="G11" s="271">
        <v>5</v>
      </c>
      <c r="H11" s="271">
        <v>3</v>
      </c>
    </row>
    <row r="12" spans="1:8" ht="42">
      <c r="A12" s="232" t="s">
        <v>211</v>
      </c>
      <c r="B12" s="269" t="s">
        <v>212</v>
      </c>
      <c r="C12" s="232" t="s">
        <v>26</v>
      </c>
      <c r="D12" s="269" t="s">
        <v>213</v>
      </c>
      <c r="E12" s="270">
        <v>55.758000000000003</v>
      </c>
      <c r="F12" s="271" t="s">
        <v>210</v>
      </c>
      <c r="G12" s="271">
        <v>6</v>
      </c>
      <c r="H12" s="271">
        <v>0</v>
      </c>
    </row>
    <row r="13" spans="1:8" ht="28">
      <c r="A13" s="232" t="s">
        <v>214</v>
      </c>
      <c r="B13" s="269" t="s">
        <v>215</v>
      </c>
      <c r="C13" s="232" t="s">
        <v>189</v>
      </c>
      <c r="D13" s="269" t="s">
        <v>216</v>
      </c>
      <c r="E13" s="270">
        <v>68.971999999999994</v>
      </c>
      <c r="F13" s="271" t="s">
        <v>195</v>
      </c>
      <c r="G13" s="271">
        <v>1</v>
      </c>
      <c r="H13" s="271">
        <v>0</v>
      </c>
    </row>
    <row r="14" spans="1:8">
      <c r="A14" s="232" t="s">
        <v>217</v>
      </c>
      <c r="B14" s="269" t="s">
        <v>198</v>
      </c>
      <c r="C14" s="232" t="s">
        <v>199</v>
      </c>
      <c r="D14" s="269" t="s">
        <v>200</v>
      </c>
      <c r="E14" s="270">
        <v>7.9429999999999996</v>
      </c>
      <c r="F14" s="271" t="s">
        <v>191</v>
      </c>
      <c r="G14" s="271">
        <v>3</v>
      </c>
      <c r="H14" s="271">
        <v>4</v>
      </c>
    </row>
    <row r="15" spans="1:8" ht="28">
      <c r="A15" s="232" t="s">
        <v>218</v>
      </c>
      <c r="B15" s="269" t="s">
        <v>183</v>
      </c>
      <c r="C15" s="232" t="s">
        <v>184</v>
      </c>
      <c r="D15" s="269" t="s">
        <v>219</v>
      </c>
      <c r="E15" s="270">
        <v>40.334000000000003</v>
      </c>
      <c r="F15" s="271" t="s">
        <v>186</v>
      </c>
      <c r="G15" s="271">
        <v>5</v>
      </c>
      <c r="H15" s="271">
        <v>1</v>
      </c>
    </row>
    <row r="16" spans="1:8" ht="28">
      <c r="A16" s="232" t="s">
        <v>220</v>
      </c>
      <c r="B16" s="269" t="s">
        <v>188</v>
      </c>
      <c r="C16" s="232" t="s">
        <v>184</v>
      </c>
      <c r="D16" s="269" t="s">
        <v>221</v>
      </c>
      <c r="E16" s="270">
        <v>67.14</v>
      </c>
      <c r="F16" s="271" t="s">
        <v>210</v>
      </c>
      <c r="G16" s="271" t="s">
        <v>191</v>
      </c>
      <c r="H16" s="271">
        <v>0</v>
      </c>
    </row>
    <row r="17" spans="1:8">
      <c r="A17" s="232" t="s">
        <v>222</v>
      </c>
      <c r="B17" s="269" t="s">
        <v>223</v>
      </c>
      <c r="C17" s="232" t="s">
        <v>224</v>
      </c>
      <c r="D17" s="269" t="s">
        <v>200</v>
      </c>
      <c r="E17" s="270">
        <v>6.37</v>
      </c>
      <c r="F17" s="271" t="s">
        <v>186</v>
      </c>
      <c r="G17" s="271">
        <v>6</v>
      </c>
      <c r="H17" s="271" t="s">
        <v>191</v>
      </c>
    </row>
    <row r="18" spans="1:8">
      <c r="A18" s="232" t="s">
        <v>225</v>
      </c>
      <c r="B18" s="269" t="s">
        <v>226</v>
      </c>
      <c r="C18" s="232" t="s">
        <v>227</v>
      </c>
      <c r="D18" s="269" t="s">
        <v>228</v>
      </c>
      <c r="E18" s="270">
        <v>15.336</v>
      </c>
      <c r="F18" s="271" t="s">
        <v>191</v>
      </c>
      <c r="G18" s="271" t="s">
        <v>191</v>
      </c>
      <c r="H18" s="271">
        <v>4</v>
      </c>
    </row>
    <row r="19" spans="1:8" ht="42">
      <c r="A19" s="232" t="s">
        <v>229</v>
      </c>
      <c r="B19" s="269" t="s">
        <v>193</v>
      </c>
      <c r="C19" s="232" t="s">
        <v>26</v>
      </c>
      <c r="D19" s="269" t="s">
        <v>213</v>
      </c>
      <c r="E19" s="270" t="s">
        <v>230</v>
      </c>
      <c r="F19" s="271" t="s">
        <v>195</v>
      </c>
      <c r="G19" s="271">
        <v>6</v>
      </c>
      <c r="H19" s="271">
        <v>2</v>
      </c>
    </row>
    <row r="20" spans="1:8" ht="42">
      <c r="A20" s="232" t="s">
        <v>231</v>
      </c>
      <c r="B20" s="269" t="s">
        <v>193</v>
      </c>
      <c r="C20" s="232" t="s">
        <v>26</v>
      </c>
      <c r="D20" s="269" t="s">
        <v>213</v>
      </c>
      <c r="E20" s="270" t="s">
        <v>230</v>
      </c>
      <c r="F20" s="271" t="s">
        <v>195</v>
      </c>
      <c r="G20" s="271">
        <v>6</v>
      </c>
      <c r="H20" s="271">
        <v>0</v>
      </c>
    </row>
    <row r="21" spans="1:8" ht="42">
      <c r="A21" s="232" t="s">
        <v>232</v>
      </c>
      <c r="B21" s="269" t="s">
        <v>183</v>
      </c>
      <c r="C21" s="232" t="s">
        <v>233</v>
      </c>
      <c r="D21" s="272" t="s">
        <v>234</v>
      </c>
      <c r="E21" s="270">
        <v>398.69</v>
      </c>
      <c r="F21" s="271" t="s">
        <v>186</v>
      </c>
      <c r="G21" s="271">
        <v>4</v>
      </c>
      <c r="H21" s="271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zoomScale="125" zoomScaleNormal="125" zoomScalePageLayoutView="125" workbookViewId="0">
      <selection activeCell="W79" sqref="W79"/>
    </sheetView>
  </sheetViews>
  <sheetFormatPr baseColWidth="10" defaultRowHeight="14" x14ac:dyDescent="0"/>
  <cols>
    <col min="1" max="1" width="18.83203125" style="62" customWidth="1"/>
    <col min="2" max="2" width="12" style="206" customWidth="1"/>
    <col min="3" max="3" width="12" style="204" customWidth="1"/>
    <col min="4" max="4" width="1.1640625" style="205" customWidth="1"/>
    <col min="5" max="5" width="12" style="204" customWidth="1"/>
    <col min="6" max="6" width="17.33203125" style="204" customWidth="1"/>
    <col min="7" max="7" width="13.83203125" style="204" customWidth="1"/>
    <col min="8" max="13" width="9.6640625" style="204" customWidth="1"/>
    <col min="14" max="14" width="12" style="204" customWidth="1"/>
    <col min="15" max="15" width="17.33203125" style="204" customWidth="1"/>
    <col min="16" max="16" width="13.83203125" style="204" customWidth="1"/>
    <col min="17" max="22" width="9.6640625" style="2" customWidth="1"/>
    <col min="23" max="23" width="20" style="2" customWidth="1"/>
    <col min="24" max="25" width="12" style="203" customWidth="1"/>
    <col min="26" max="29" width="12" style="2" customWidth="1"/>
    <col min="30" max="16384" width="10.83203125" style="2"/>
  </cols>
  <sheetData>
    <row r="1" spans="1:25">
      <c r="D1" s="266"/>
      <c r="E1" s="265" t="s">
        <v>144</v>
      </c>
      <c r="F1" s="206"/>
    </row>
    <row r="2" spans="1:25" s="246" customFormat="1" ht="43" customHeight="1" thickBot="1">
      <c r="A2" s="264" t="s">
        <v>173</v>
      </c>
      <c r="B2" s="262" t="s">
        <v>172</v>
      </c>
      <c r="C2" s="262" t="s">
        <v>171</v>
      </c>
      <c r="D2" s="263"/>
      <c r="E2" s="262" t="s">
        <v>170</v>
      </c>
      <c r="F2" s="262" t="s">
        <v>169</v>
      </c>
      <c r="G2" s="262" t="s">
        <v>168</v>
      </c>
      <c r="H2" s="262" t="s">
        <v>167</v>
      </c>
      <c r="I2" s="262" t="s">
        <v>166</v>
      </c>
      <c r="J2" s="262" t="s">
        <v>165</v>
      </c>
      <c r="K2" s="262" t="s">
        <v>164</v>
      </c>
      <c r="L2" s="262" t="s">
        <v>163</v>
      </c>
      <c r="M2" s="262" t="s">
        <v>162</v>
      </c>
      <c r="N2" s="262" t="s">
        <v>161</v>
      </c>
      <c r="O2" s="262" t="s">
        <v>160</v>
      </c>
      <c r="P2" s="262" t="s">
        <v>159</v>
      </c>
      <c r="X2" s="247"/>
      <c r="Y2" s="247"/>
    </row>
    <row r="3" spans="1:25" s="62" customFormat="1" ht="15" thickTop="1">
      <c r="A3" s="257" t="s">
        <v>114</v>
      </c>
      <c r="B3" s="255">
        <f>SUM('[4]FZ calcs'!K3:'[4]FZ calcs'!K300)</f>
        <v>3796.4918893018844</v>
      </c>
      <c r="C3" s="255">
        <f>SUM('[4]FZ calcs'!L3:'[4]FZ calcs'!L300)</f>
        <v>8752.8974650883883</v>
      </c>
      <c r="D3" s="256"/>
      <c r="E3" s="255">
        <f>SUM('[4]SLR calcs'!V6:V663)</f>
        <v>69.373342622132569</v>
      </c>
      <c r="F3" s="255">
        <f>SUM('[4]SLR calcs'!W6:W663)</f>
        <v>143.97356707981109</v>
      </c>
      <c r="G3" s="255">
        <f>SUM('[4]SLR calcs'!Z6:Z663)</f>
        <v>88.594346263983354</v>
      </c>
      <c r="H3" s="255">
        <f>SUM('[4]SLR calcs'!AA6:AA663)</f>
        <v>185.6135980663644</v>
      </c>
      <c r="I3" s="255">
        <f>SUM('[4]SLR calcs'!AD6:AD663)</f>
        <v>108.68359870611778</v>
      </c>
      <c r="J3" s="255">
        <f>SUM('[4]SLR calcs'!AE6:AE663)</f>
        <v>231.14240407234345</v>
      </c>
      <c r="K3" s="255">
        <f>SUM('[4]SLR calcs'!AH6:AH663)</f>
        <v>162.55211414510322</v>
      </c>
      <c r="L3" s="255">
        <f>SUM('[4]SLR calcs'!AI6:AI663)</f>
        <v>368.86087541753432</v>
      </c>
      <c r="M3" s="255">
        <f>SUM('[4]SLR calcs'!AL6:AL663)</f>
        <v>298.26583536036679</v>
      </c>
      <c r="N3" s="255">
        <f>SUM('[4]SLR calcs'!AM6:AM663)</f>
        <v>727.75824956417534</v>
      </c>
      <c r="O3" s="255">
        <f>SUM('[4]SLR calcs'!AP6:AP663)</f>
        <v>741.34309614101676</v>
      </c>
      <c r="P3" s="255">
        <f>SUM('[4]SLR calcs'!AQ6:AQ663)</f>
        <v>1827.4805369458661</v>
      </c>
      <c r="X3" s="242"/>
      <c r="Y3" s="242"/>
    </row>
    <row r="4" spans="1:25">
      <c r="A4" s="257" t="s">
        <v>110</v>
      </c>
      <c r="B4" s="258">
        <f>SUMIF('[4]FZ calcs'!$G3:'[4]FZ calcs'!$G765, "Bay Point CDP",'[4]FZ calcs'!K3:'[4]FZ calcs'!K765)</f>
        <v>93.541701018187794</v>
      </c>
      <c r="C4" s="258">
        <f>SUMIF('[4]FZ calcs'!$G3:'[4]FZ calcs'!$G765, "Bay Point CDP",'[4]FZ calcs'!L3:'[4]FZ calcs'!L765)</f>
        <v>282.0469119940322</v>
      </c>
      <c r="D4" s="259"/>
      <c r="E4" s="258">
        <f>SUMIF('[4]SLR calcs'!$E6:'[4]SLR calcs'!$E663, "Bay Point CDP",'[4]SLR calcs'!V6:'[4]SLR calcs'!V663)</f>
        <v>0.4847405337168007</v>
      </c>
      <c r="F4" s="258">
        <f>SUMIF('[4]SLR calcs'!$E6:'[4]SLR calcs'!$E663, "Bay Point CDP",'[4]SLR calcs'!W6:'[4]SLR calcs'!W663)</f>
        <v>0.4847405337168007</v>
      </c>
      <c r="G4" s="258">
        <f>SUMIF('[4]SLR calcs'!$E6:'[4]SLR calcs'!$E663, "Bay Point CDP",'[4]SLR calcs'!Z6:'[4]SLR calcs'!Z663)</f>
        <v>0.73476885016864746</v>
      </c>
      <c r="H4" s="258">
        <f>SUMIF('[4]SLR calcs'!$E6:'[4]SLR calcs'!$E663, "Bay Point CDP",'[4]SLR calcs'!AA6:'[4]SLR calcs'!AA663)</f>
        <v>0.73476885016864746</v>
      </c>
      <c r="I4" s="258">
        <f>SUMIF('[4]SLR calcs'!$E6:'[4]SLR calcs'!$E663, "Bay Point CDP",'[4]SLR calcs'!AD6:'[4]SLR calcs'!AD663)</f>
        <v>0.7683352942911118</v>
      </c>
      <c r="J4" s="258">
        <f>SUMIF('[4]SLR calcs'!$E6:'[4]SLR calcs'!$E663, "Bay Point CDP",'[4]SLR calcs'!AE6:'[4]SLR calcs'!AE663)</f>
        <v>0.7683352942911118</v>
      </c>
      <c r="K4" s="258">
        <f>SUMIF('[4]SLR calcs'!$E6:'[4]SLR calcs'!$E663, "Bay Point CDP",'[4]SLR calcs'!AH6:'[4]SLR calcs'!AH663)</f>
        <v>0.82359930212618127</v>
      </c>
      <c r="L4" s="258">
        <f>SUMIF('[4]SLR calcs'!$E6:'[4]SLR calcs'!$E663, "Bay Point CDP",'[4]SLR calcs'!AI6:'[4]SLR calcs'!AI663)</f>
        <v>0.82359930212618127</v>
      </c>
      <c r="M4" s="258">
        <f>SUMIF('[4]SLR calcs'!$E6:'[4]SLR calcs'!$E663, "Bay Point CDP",'[4]SLR calcs'!AL6:'[4]SLR calcs'!AL663)</f>
        <v>1.1022439592187978</v>
      </c>
      <c r="N4" s="258">
        <f>SUMIF('[4]SLR calcs'!$E6:'[4]SLR calcs'!$E663, "Bay Point CDP",'[4]SLR calcs'!AM6:'[4]SLR calcs'!AM663)</f>
        <v>1.5942026560579428</v>
      </c>
      <c r="O4" s="258">
        <f>SUMIF('[4]SLR calcs'!$E6:'[4]SLR calcs'!$E663, "Bay Point CDP",'[4]SLR calcs'!AP6:'[4]SLR calcs'!AP663)</f>
        <v>1.2444868651535481</v>
      </c>
      <c r="P4" s="258">
        <f>SUMIF('[4]SLR calcs'!$E6:'[4]SLR calcs'!$E663, "Bay Point CDP",'[4]SLR calcs'!AQ6:'[4]SLR calcs'!AQ663)</f>
        <v>1.9423963464748735</v>
      </c>
    </row>
    <row r="5" spans="1:25">
      <c r="A5" s="257" t="s">
        <v>107</v>
      </c>
      <c r="B5" s="258">
        <f>SUMIF('[4]FZ calcs'!$G3:'[4]FZ calcs'!$G765, "Bayview CDP",'[4]FZ calcs'!K3:'[4]FZ calcs'!K765)</f>
        <v>12.776294905097469</v>
      </c>
      <c r="C5" s="258">
        <f>SUMIF('[4]FZ calcs'!$G3:'[4]FZ calcs'!$G765, "Bayview CDP",'[4]FZ calcs'!L3:'[4]FZ calcs'!L765)</f>
        <v>34.450074698811861</v>
      </c>
      <c r="D5" s="259"/>
      <c r="E5" s="258">
        <f>SUMIF('[4]SLR calcs'!$E6:'[4]SLR calcs'!$E663, "Bayview CDP",'[4]SLR calcs'!V6:'[4]SLR calcs'!V663)</f>
        <v>7.6430316907770406</v>
      </c>
      <c r="F5" s="258">
        <f>SUMIF('[4]SLR calcs'!$E6:'[4]SLR calcs'!$E663, "Bayview CDP",'[4]SLR calcs'!W6:'[4]SLR calcs'!W663)</f>
        <v>20.126282506222463</v>
      </c>
      <c r="G5" s="258">
        <f>SUMIF('[4]SLR calcs'!$E6:'[4]SLR calcs'!$E663, "Bayview CDP",'[4]SLR calcs'!Z6:'[4]SLR calcs'!Z663)</f>
        <v>9.5640451685926422</v>
      </c>
      <c r="H5" s="258">
        <f>SUMIF('[4]SLR calcs'!$E6:'[4]SLR calcs'!$E663, "Bayview CDP",'[4]SLR calcs'!AA6:'[4]SLR calcs'!AA663)</f>
        <v>25.199425309756997</v>
      </c>
      <c r="I5" s="258">
        <f>SUMIF('[4]SLR calcs'!$E6:'[4]SLR calcs'!$E663, "Bayview CDP",'[4]SLR calcs'!AD6:'[4]SLR calcs'!AD663)</f>
        <v>10.875456510194585</v>
      </c>
      <c r="J5" s="258">
        <f>SUMIF('[4]SLR calcs'!$E6:'[4]SLR calcs'!$E663, "Bayview CDP",'[4]SLR calcs'!AE6:'[4]SLR calcs'!AE663)</f>
        <v>28.702347387791875</v>
      </c>
      <c r="K5" s="258">
        <f>SUMIF('[4]SLR calcs'!$E6:'[4]SLR calcs'!$E663, "Bayview CDP",'[4]SLR calcs'!AH6:'[4]SLR calcs'!AH663)</f>
        <v>14.404421242559181</v>
      </c>
      <c r="L5" s="258">
        <f>SUMIF('[4]SLR calcs'!$E6:'[4]SLR calcs'!$E663, "Bayview CDP",'[4]SLR calcs'!AI6:'[4]SLR calcs'!AI663)</f>
        <v>38.296474021406581</v>
      </c>
      <c r="M5" s="258">
        <f>SUMIF('[4]SLR calcs'!$E6:'[4]SLR calcs'!$E663, "Bayview CDP",'[4]SLR calcs'!AL6:'[4]SLR calcs'!AL663)</f>
        <v>17.836512623960598</v>
      </c>
      <c r="N5" s="258">
        <f>SUMIF('[4]SLR calcs'!$E6:'[4]SLR calcs'!$E663, "Bayview CDP",'[4]SLR calcs'!AM6:'[4]SLR calcs'!AM663)</f>
        <v>47.523086390029469</v>
      </c>
      <c r="O5" s="258">
        <f>SUMIF('[4]SLR calcs'!$E6:'[4]SLR calcs'!$E663, "Bayview CDP",'[4]SLR calcs'!AP6:'[4]SLR calcs'!AP663)</f>
        <v>19.932487500457704</v>
      </c>
      <c r="P5" s="258">
        <f>SUMIF('[4]SLR calcs'!$E6:'[4]SLR calcs'!$E663, "Bayview CDP",'[4]SLR calcs'!AQ6:'[4]SLR calcs'!AQ663)</f>
        <v>53.155020576749273</v>
      </c>
    </row>
    <row r="6" spans="1:25">
      <c r="A6" s="257" t="s">
        <v>104</v>
      </c>
      <c r="B6" s="258">
        <f>SUMIF('[4]FZ calcs'!$G3:'[4]FZ calcs'!$G765, "Clyde CDP",'[4]FZ calcs'!K3:'[4]FZ calcs'!K765)</f>
        <v>2.6144511957511336E-2</v>
      </c>
      <c r="C6" s="258">
        <f>SUMIF('[4]FZ calcs'!$G3:'[4]FZ calcs'!$G765, "Clyde CDP",'[4]FZ calcs'!L3:'[4]FZ calcs'!L765)</f>
        <v>3.9839256316207751E-2</v>
      </c>
      <c r="D6" s="259"/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</row>
    <row r="7" spans="1:25">
      <c r="A7" s="257" t="s">
        <v>101</v>
      </c>
      <c r="B7" s="258">
        <f>SUMIF('[4]FZ calcs'!$G3:'[4]FZ calcs'!$G765, "Concord city",'[4]FZ calcs'!K3:'[4]FZ calcs'!K765)</f>
        <v>4.0779160967726193</v>
      </c>
      <c r="C7" s="258">
        <f>SUMIF('[4]FZ calcs'!$G3:'[4]FZ calcs'!$G765, "Concord city",'[4]FZ calcs'!L3:'[4]FZ calcs'!L765)</f>
        <v>17.860873263994847</v>
      </c>
      <c r="D7" s="259"/>
      <c r="E7" s="258">
        <f>SUMIF('[4]SLR calcs'!$E6:'[4]SLR calcs'!$E663, "Concord city",'[4]SLR calcs'!V6:'[4]SLR calcs'!V663)</f>
        <v>0</v>
      </c>
      <c r="F7" s="258">
        <f>SUMIF('[4]SLR calcs'!$E6:'[4]SLR calcs'!$E663, "Concord city",'[4]SLR calcs'!W6:'[4]SLR calcs'!W663)</f>
        <v>0.11947971023436017</v>
      </c>
      <c r="G7" s="258">
        <f>SUMIF('[4]SLR calcs'!$E6:'[4]SLR calcs'!$E663, "Concord city",'[4]SLR calcs'!Z6:'[4]SLR calcs'!Z663)</f>
        <v>0</v>
      </c>
      <c r="H7" s="258">
        <f>SUMIF('[4]SLR calcs'!$E6:'[4]SLR calcs'!$E663, "Concord city",'[4]SLR calcs'!AA6:'[4]SLR calcs'!AA663)</f>
        <v>0.29260453462427433</v>
      </c>
      <c r="I7" s="258">
        <f>SUMIF('[4]SLR calcs'!$E6:'[4]SLR calcs'!$E663, "Concord city",'[4]SLR calcs'!AD6:'[4]SLR calcs'!AD663)</f>
        <v>0</v>
      </c>
      <c r="J7" s="258">
        <f>SUMIF('[4]SLR calcs'!$E6:'[4]SLR calcs'!$E663, "Concord city",'[4]SLR calcs'!AE6:'[4]SLR calcs'!AE663)</f>
        <v>0.54090055428877915</v>
      </c>
      <c r="K7" s="258">
        <f>SUMIF('[4]SLR calcs'!$E6:'[4]SLR calcs'!$E663, "Concord city",'[4]SLR calcs'!AH6:'[4]SLR calcs'!AH663)</f>
        <v>0</v>
      </c>
      <c r="L7" s="258">
        <f>SUMIF('[4]SLR calcs'!$E6:'[4]SLR calcs'!$E663, "Concord city",'[4]SLR calcs'!AI6:'[4]SLR calcs'!AI663)</f>
        <v>0.59197250605910723</v>
      </c>
      <c r="M7" s="258">
        <f>SUMIF('[4]SLR calcs'!$E6:'[4]SLR calcs'!$E663, "Concord city",'[4]SLR calcs'!AL6:'[4]SLR calcs'!AL663)</f>
        <v>0</v>
      </c>
      <c r="N7" s="258">
        <f>SUMIF('[4]SLR calcs'!$E6:'[4]SLR calcs'!$E663, "Concord city",'[4]SLR calcs'!AM6:'[4]SLR calcs'!AM663)</f>
        <v>0.65237597706964823</v>
      </c>
      <c r="O7" s="258">
        <f>SUMIF('[4]SLR calcs'!$E6:'[4]SLR calcs'!$E663, "Concord city",'[4]SLR calcs'!AP6:'[4]SLR calcs'!AP663)</f>
        <v>0</v>
      </c>
      <c r="P7" s="258">
        <f>SUMIF('[4]SLR calcs'!$E6:'[4]SLR calcs'!$E663, "Concord city",'[4]SLR calcs'!AQ6:'[4]SLR calcs'!AQ663)</f>
        <v>0.69197811172449042</v>
      </c>
    </row>
    <row r="8" spans="1:25">
      <c r="A8" s="257" t="s">
        <v>98</v>
      </c>
      <c r="B8" s="258">
        <f>SUMIF('[4]FZ calcs'!$G3:'[4]FZ calcs'!$G765, "Crockett CDP",'[4]FZ calcs'!K3:'[4]FZ calcs'!K765)</f>
        <v>21.495579013852552</v>
      </c>
      <c r="C8" s="258">
        <f>SUMIF('[4]FZ calcs'!$G3:'[4]FZ calcs'!$G765, "Crockett CDP",'[4]FZ calcs'!L3:'[4]FZ calcs'!L765)</f>
        <v>42.892123155118931</v>
      </c>
      <c r="D8" s="259"/>
      <c r="E8" s="258">
        <f>SUMIF('[4]SLR calcs'!$E6:'[4]SLR calcs'!$E663, "Crockett CDP",'[4]SLR calcs'!V6:'[4]SLR calcs'!V663)</f>
        <v>5.0568208283448067E-2</v>
      </c>
      <c r="F8" s="258">
        <f>SUMIF('[4]SLR calcs'!$E6:'[4]SLR calcs'!$E663, "Crockett CDP",'[4]SLR calcs'!W6:'[4]SLR calcs'!W663)</f>
        <v>0.12642052070862017</v>
      </c>
      <c r="G8" s="258">
        <f>SUMIF('[4]SLR calcs'!$E6:'[4]SLR calcs'!$E663, "Crockett CDP",'[4]SLR calcs'!Z6:'[4]SLR calcs'!Z663)</f>
        <v>8.288670977296457E-2</v>
      </c>
      <c r="H8" s="258">
        <f>SUMIF('[4]SLR calcs'!$E6:'[4]SLR calcs'!$E663, "Crockett CDP",'[4]SLR calcs'!AA6:'[4]SLR calcs'!AA663)</f>
        <v>0.20721677443241143</v>
      </c>
      <c r="I8" s="258">
        <f>SUMIF('[4]SLR calcs'!$E6:'[4]SLR calcs'!$E663, "Crockett CDP",'[4]SLR calcs'!AD6:'[4]SLR calcs'!AD663)</f>
        <v>0.12078328853178098</v>
      </c>
      <c r="J8" s="258">
        <f>SUMIF('[4]SLR calcs'!$E6:'[4]SLR calcs'!$E663, "Crockett CDP",'[4]SLR calcs'!AE6:'[4]SLR calcs'!AE663)</f>
        <v>0.30195822132945244</v>
      </c>
      <c r="K8" s="258">
        <f>SUMIF('[4]SLR calcs'!$E6:'[4]SLR calcs'!$E663, "Crockett CDP",'[4]SLR calcs'!AH6:'[4]SLR calcs'!AH663)</f>
        <v>0.15988466407784221</v>
      </c>
      <c r="L8" s="258">
        <f>SUMIF('[4]SLR calcs'!$E6:'[4]SLR calcs'!$E663, "Crockett CDP",'[4]SLR calcs'!AI6:'[4]SLR calcs'!AI663)</f>
        <v>0.39971166019460552</v>
      </c>
      <c r="M8" s="258">
        <f>SUMIF('[4]SLR calcs'!$E6:'[4]SLR calcs'!$E663, "Crockett CDP",'[4]SLR calcs'!AL6:'[4]SLR calcs'!AL663)</f>
        <v>0.20596418858324023</v>
      </c>
      <c r="N8" s="258">
        <f>SUMIF('[4]SLR calcs'!$E6:'[4]SLR calcs'!$E663, "Crockett CDP",'[4]SLR calcs'!AM6:'[4]SLR calcs'!AM663)</f>
        <v>0.51491047145810054</v>
      </c>
      <c r="O8" s="258">
        <f>SUMIF('[4]SLR calcs'!$E6:'[4]SLR calcs'!$E663, "Crockett CDP",'[4]SLR calcs'!AP6:'[4]SLR calcs'!AP663)</f>
        <v>0.27378353976045389</v>
      </c>
      <c r="P8" s="258">
        <f>SUMIF('[4]SLR calcs'!$E6:'[4]SLR calcs'!$E663, "Crockett CDP",'[4]SLR calcs'!AQ6:'[4]SLR calcs'!AQ663)</f>
        <v>0.68445884940113477</v>
      </c>
    </row>
    <row r="9" spans="1:25" s="260" customFormat="1">
      <c r="A9" s="257" t="s">
        <v>95</v>
      </c>
      <c r="B9" s="258">
        <f>SUMIF('[4]FZ calcs'!$G3:'[4]FZ calcs'!$G765, "El Cerrito city",'[4]FZ calcs'!K3:'[4]FZ calcs'!K765)</f>
        <v>473.41843064605422</v>
      </c>
      <c r="C9" s="258">
        <f>SUMIF('[4]FZ calcs'!$G3:'[4]FZ calcs'!$G765, "El Cerrito city",'[4]FZ calcs'!L3:'[4]FZ calcs'!L765)</f>
        <v>937.62193554780356</v>
      </c>
      <c r="D9" s="259"/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X9" s="261"/>
      <c r="Y9" s="261"/>
    </row>
    <row r="10" spans="1:25">
      <c r="A10" s="257" t="s">
        <v>92</v>
      </c>
      <c r="B10" s="258">
        <f>SUMIF('[4]FZ calcs'!$G3:'[4]FZ calcs'!$G765, "Hercules city",'[4]FZ calcs'!K3:'[4]FZ calcs'!K765)</f>
        <v>31.394388092055369</v>
      </c>
      <c r="C10" s="258">
        <f>SUMIF('[4]FZ calcs'!$G3:'[4]FZ calcs'!$G765, "Hercules city",'[4]FZ calcs'!L3:'[4]FZ calcs'!L765)</f>
        <v>88.004255871020433</v>
      </c>
      <c r="D10" s="259"/>
      <c r="E10" s="258">
        <f>SUMIF('[4]SLR calcs'!$E6:'[4]SLR calcs'!$E663, "Hercules city",'[4]SLR calcs'!V6:'[4]SLR calcs'!V663)</f>
        <v>5.3204958768240154</v>
      </c>
      <c r="F10" s="258">
        <f>SUMIF('[4]SLR calcs'!$E6:'[4]SLR calcs'!$E663, "Hercules city",'[4]SLR calcs'!W6:'[4]SLR calcs'!W663)</f>
        <v>15.504785857226091</v>
      </c>
      <c r="G10" s="258">
        <f>SUMIF('[4]SLR calcs'!$E6:'[4]SLR calcs'!$E663, "Hercules city",'[4]SLR calcs'!Z6:'[4]SLR calcs'!Z663)</f>
        <v>6.6136306943780081</v>
      </c>
      <c r="H10" s="258">
        <f>SUMIF('[4]SLR calcs'!$E6:'[4]SLR calcs'!$E663, "Hercules city",'[4]SLR calcs'!AA6:'[4]SLR calcs'!AA663)</f>
        <v>19.167845007630842</v>
      </c>
      <c r="I10" s="258">
        <f>SUMIF('[4]SLR calcs'!$E6:'[4]SLR calcs'!$E663, "Hercules city",'[4]SLR calcs'!AD6:'[4]SLR calcs'!AD663)</f>
        <v>8.2897535177197401</v>
      </c>
      <c r="J10" s="258">
        <f>SUMIF('[4]SLR calcs'!$E6:'[4]SLR calcs'!$E663, "Hercules city",'[4]SLR calcs'!AE6:'[4]SLR calcs'!AE663)</f>
        <v>23.827484680553436</v>
      </c>
      <c r="K10" s="258">
        <f>SUMIF('[4]SLR calcs'!$E6:'[4]SLR calcs'!$E663, "Hercules city",'[4]SLR calcs'!AH6:'[4]SLR calcs'!AH663)</f>
        <v>24.791591534695499</v>
      </c>
      <c r="L10" s="258">
        <f>SUMIF('[4]SLR calcs'!$E6:'[4]SLR calcs'!$E663, "Hercules city",'[4]SLR calcs'!AI6:'[4]SLR calcs'!AI663)</f>
        <v>63.341051879449857</v>
      </c>
      <c r="M10" s="258">
        <f>SUMIF('[4]SLR calcs'!$E6:'[4]SLR calcs'!$E663, "Hercules city",'[4]SLR calcs'!AL6:'[4]SLR calcs'!AL663)</f>
        <v>35.780507869494322</v>
      </c>
      <c r="N10" s="258">
        <f>SUMIF('[4]SLR calcs'!$E6:'[4]SLR calcs'!$E663, "Hercules city",'[4]SLR calcs'!AM6:'[4]SLR calcs'!AM663)</f>
        <v>91.607831491158464</v>
      </c>
      <c r="O10" s="258">
        <f>SUMIF('[4]SLR calcs'!$E6:'[4]SLR calcs'!$E663, "Hercules city",'[4]SLR calcs'!AP6:'[4]SLR calcs'!AP663)</f>
        <v>56.153032574700397</v>
      </c>
      <c r="P10" s="258">
        <f>SUMIF('[4]SLR calcs'!$E6:'[4]SLR calcs'!$E663, "Hercules city",'[4]SLR calcs'!AQ6:'[4]SLR calcs'!AQ663)</f>
        <v>144.96797093770459</v>
      </c>
    </row>
    <row r="11" spans="1:25">
      <c r="A11" s="257" t="s">
        <v>109</v>
      </c>
      <c r="B11" s="258">
        <f>SUMIF('[4]FZ calcs'!$G3:'[4]FZ calcs'!$G765, "Martinez city",'[4]FZ calcs'!K3:'[4]FZ calcs'!K765)</f>
        <v>1518.8129895959762</v>
      </c>
      <c r="C11" s="258">
        <f>SUMIF('[4]FZ calcs'!$G3:'[4]FZ calcs'!$G765, "Martinez city",'[4]FZ calcs'!L3:'[4]FZ calcs'!L765)</f>
        <v>2991.991080601897</v>
      </c>
      <c r="D11" s="259"/>
      <c r="E11" s="258">
        <f>SUMIF('[4]SLR calcs'!$E6:'[4]SLR calcs'!$E663, "Martinez city",'[4]SLR calcs'!V6:'[4]SLR calcs'!V663)</f>
        <v>9.2130774197201895</v>
      </c>
      <c r="F11" s="258">
        <f>SUMIF('[4]SLR calcs'!$E6:'[4]SLR calcs'!$E663, "Martinez city",'[4]SLR calcs'!W6:'[4]SLR calcs'!W663)</f>
        <v>19.857292551675776</v>
      </c>
      <c r="G11" s="258">
        <f>SUMIF('[4]SLR calcs'!$E6:'[4]SLR calcs'!$E663, "Martinez city",'[4]SLR calcs'!Z6:'[4]SLR calcs'!Z663)</f>
        <v>13.838994837234186</v>
      </c>
      <c r="H11" s="258">
        <f>SUMIF('[4]SLR calcs'!$E6:'[4]SLR calcs'!$E663, "Martinez city",'[4]SLR calcs'!AA6:'[4]SLR calcs'!AA663)</f>
        <v>28.989619492726362</v>
      </c>
      <c r="I11" s="258">
        <f>SUMIF('[4]SLR calcs'!$E6:'[4]SLR calcs'!$E663, "Martinez city",'[4]SLR calcs'!AD6:'[4]SLR calcs'!AD663)</f>
        <v>17.852458112240299</v>
      </c>
      <c r="J11" s="258">
        <f>SUMIF('[4]SLR calcs'!$E6:'[4]SLR calcs'!$E663, "Martinez city",'[4]SLR calcs'!AE6:'[4]SLR calcs'!AE663)</f>
        <v>36.903129352320853</v>
      </c>
      <c r="K11" s="258">
        <f>SUMIF('[4]SLR calcs'!$E6:'[4]SLR calcs'!$E663, "Martinez city",'[4]SLR calcs'!AH6:'[4]SLR calcs'!AH663)</f>
        <v>20.864735816537401</v>
      </c>
      <c r="L11" s="258">
        <f>SUMIF('[4]SLR calcs'!$E6:'[4]SLR calcs'!$E663, "Martinez city",'[4]SLR calcs'!AI6:'[4]SLR calcs'!AI663)</f>
        <v>43.048578615158128</v>
      </c>
      <c r="M11" s="258">
        <f>SUMIF('[4]SLR calcs'!$E6:'[4]SLR calcs'!$E663, "Martinez city",'[4]SLR calcs'!AL6:'[4]SLR calcs'!AL663)</f>
        <v>24.663355842158648</v>
      </c>
      <c r="N11" s="258">
        <f>SUMIF('[4]SLR calcs'!$E6:'[4]SLR calcs'!$E663, "Martinez city",'[4]SLR calcs'!AM6:'[4]SLR calcs'!AM663)</f>
        <v>53.924478964311909</v>
      </c>
      <c r="O11" s="258">
        <f>SUMIF('[4]SLR calcs'!$E6:'[4]SLR calcs'!$E663, "Martinez city",'[4]SLR calcs'!AP6:'[4]SLR calcs'!AP663)</f>
        <v>32.691784427195898</v>
      </c>
      <c r="P11" s="258">
        <f>SUMIF('[4]SLR calcs'!$E6:'[4]SLR calcs'!$E663, "Martinez city",'[4]SLR calcs'!AQ6:'[4]SLR calcs'!AQ663)</f>
        <v>70.158931644949561</v>
      </c>
    </row>
    <row r="12" spans="1:25">
      <c r="A12" s="257" t="s">
        <v>106</v>
      </c>
      <c r="B12" s="258">
        <f>SUMIF('[4]FZ calcs'!$G3:'[4]FZ calcs'!$G765, "Montalvin Manor CDP",'[4]FZ calcs'!K3:'[4]FZ calcs'!K765)</f>
        <v>10.042528258259759</v>
      </c>
      <c r="C12" s="258">
        <f>SUMIF('[4]FZ calcs'!$G3:'[4]FZ calcs'!$G765, "Montalvin Manor CDP",'[4]FZ calcs'!L3:'[4]FZ calcs'!L765)</f>
        <v>14.692950315907961</v>
      </c>
      <c r="D12" s="259"/>
      <c r="E12" s="258">
        <f>SUMIF('[4]SLR calcs'!$E6:'[4]SLR calcs'!$E663, "Montalvin Manor CDP",'[4]SLR calcs'!V6:'[4]SLR calcs'!V663)</f>
        <v>0</v>
      </c>
      <c r="F12" s="258">
        <f>SUMIF('[4]SLR calcs'!$E6:'[4]SLR calcs'!$E663, "Montalvin Manor CDP",'[4]SLR calcs'!W6:'[4]SLR calcs'!W663)</f>
        <v>0</v>
      </c>
      <c r="G12" s="258">
        <f>SUMIF('[4]SLR calcs'!$E6:'[4]SLR calcs'!$E663, "Montalvin Manor CDP",'[4]SLR calcs'!Z6:'[4]SLR calcs'!Z663)</f>
        <v>0</v>
      </c>
      <c r="H12" s="258">
        <f>SUMIF('[4]SLR calcs'!$E6:'[4]SLR calcs'!$E663, "Montalvin Manor CDP",'[4]SLR calcs'!AA6:'[4]SLR calcs'!AA663)</f>
        <v>0</v>
      </c>
      <c r="I12" s="258">
        <f>SUMIF('[4]SLR calcs'!$E6:'[4]SLR calcs'!$E663, "Montalvin Manor CDP",'[4]SLR calcs'!AD6:'[4]SLR calcs'!AD663)</f>
        <v>2.7468154734749544E-2</v>
      </c>
      <c r="J12" s="258">
        <f>SUMIF('[4]SLR calcs'!$E6:'[4]SLR calcs'!$E663, "Montalvin Manor CDP",'[4]SLR calcs'!AE6:'[4]SLR calcs'!AE663)</f>
        <v>4.450536463351825E-2</v>
      </c>
      <c r="K12" s="258">
        <f>SUMIF('[4]SLR calcs'!$E6:'[4]SLR calcs'!$E663, "Montalvin Manor CDP",'[4]SLR calcs'!AH6:'[4]SLR calcs'!AH663)</f>
        <v>6.8350250276972252E-2</v>
      </c>
      <c r="L12" s="258">
        <f>SUMIF('[4]SLR calcs'!$E6:'[4]SLR calcs'!$E663, "Montalvin Manor CDP",'[4]SLR calcs'!AI6:'[4]SLR calcs'!AI663)</f>
        <v>0.11074470930952467</v>
      </c>
      <c r="M12" s="258">
        <f>SUMIF('[4]SLR calcs'!$E6:'[4]SLR calcs'!$E663, "Montalvin Manor CDP",'[4]SLR calcs'!AL6:'[4]SLR calcs'!AL663)</f>
        <v>0.32948323257624684</v>
      </c>
      <c r="N12" s="258">
        <f>SUMIF('[4]SLR calcs'!$E6:'[4]SLR calcs'!$E663, "Montalvin Manor CDP",'[4]SLR calcs'!AM6:'[4]SLR calcs'!AM663)</f>
        <v>0.53384625025012145</v>
      </c>
      <c r="O12" s="258">
        <f>SUMIF('[4]SLR calcs'!$E6:'[4]SLR calcs'!$E663, "Montalvin Manor CDP",'[4]SLR calcs'!AP6:'[4]SLR calcs'!AP663)</f>
        <v>0.62588328201908172</v>
      </c>
      <c r="P12" s="258">
        <f>SUMIF('[4]SLR calcs'!$E6:'[4]SLR calcs'!$E663, "Montalvin Manor CDP",'[4]SLR calcs'!AQ6:'[4]SLR calcs'!AQ663)</f>
        <v>1.0140893683347147</v>
      </c>
    </row>
    <row r="13" spans="1:25">
      <c r="A13" s="257" t="s">
        <v>103</v>
      </c>
      <c r="B13" s="258">
        <f>SUMIF('[4]FZ calcs'!$G3:'[4]FZ calcs'!$G765, "Mountain View CDP",'[4]FZ calcs'!K3:'[4]FZ calcs'!K765)</f>
        <v>1.8483200595753823E-3</v>
      </c>
      <c r="C13" s="258">
        <f>SUMIF('[4]FZ calcs'!$G3:'[4]FZ calcs'!$G765, "Mountain View CDP",'[4]FZ calcs'!L3:'[4]FZ calcs'!L765)</f>
        <v>3.3779642468101815E-3</v>
      </c>
      <c r="D13" s="259"/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</row>
    <row r="14" spans="1:25">
      <c r="A14" s="257" t="s">
        <v>100</v>
      </c>
      <c r="B14" s="258">
        <f>SUMIF('[4]FZ calcs'!$G3:'[4]FZ calcs'!$G765, "North Richmond CDP",'[4]FZ calcs'!K3:'[4]FZ calcs'!K765)</f>
        <v>15.71323190276788</v>
      </c>
      <c r="C14" s="258">
        <f>SUMIF('[4]FZ calcs'!$G3:'[4]FZ calcs'!$G765, "North Richmond CDP",'[4]FZ calcs'!L3:'[4]FZ calcs'!L765)</f>
        <v>56.286829188799828</v>
      </c>
      <c r="D14" s="259"/>
      <c r="E14" s="258">
        <f>SUMIF('[4]SLR calcs'!$E6:'[4]SLR calcs'!$E663, "North Richmond CDP",'[4]SLR calcs'!V6:'[4]SLR calcs'!V663)</f>
        <v>0</v>
      </c>
      <c r="F14" s="258">
        <f>SUMIF('[4]SLR calcs'!$E6:'[4]SLR calcs'!$E663, "North Richmond CDP",'[4]SLR calcs'!W6:'[4]SLR calcs'!W663)</f>
        <v>0</v>
      </c>
      <c r="G14" s="258">
        <f>SUMIF('[4]SLR calcs'!$E6:'[4]SLR calcs'!$E663, "North Richmond CDP",'[4]SLR calcs'!Z6:'[4]SLR calcs'!Z663)</f>
        <v>0.2036219293845061</v>
      </c>
      <c r="H14" s="258">
        <f>SUMIF('[4]SLR calcs'!$E6:'[4]SLR calcs'!$E663, "North Richmond CDP",'[4]SLR calcs'!AA6:'[4]SLR calcs'!AA663)</f>
        <v>0.5329803964972305</v>
      </c>
      <c r="I14" s="258">
        <f>SUMIF('[4]SLR calcs'!$E6:'[4]SLR calcs'!$E663, "North Richmond CDP",'[4]SLR calcs'!AD6:'[4]SLR calcs'!AD663)</f>
        <v>2.637124102875585</v>
      </c>
      <c r="J14" s="258">
        <f>SUMIF('[4]SLR calcs'!$E6:'[4]SLR calcs'!$E663, "North Richmond CDP",'[4]SLR calcs'!AE6:'[4]SLR calcs'!AE663)</f>
        <v>7.6175953679669286</v>
      </c>
      <c r="K14" s="258">
        <f>SUMIF('[4]SLR calcs'!$E6:'[4]SLR calcs'!$E663, "North Richmond CDP",'[4]SLR calcs'!AH6:'[4]SLR calcs'!AH663)</f>
        <v>8.9165304546225386</v>
      </c>
      <c r="L14" s="258">
        <f>SUMIF('[4]SLR calcs'!$E6:'[4]SLR calcs'!$E663, "North Richmond CDP",'[4]SLR calcs'!AI6:'[4]SLR calcs'!AI663)</f>
        <v>25.859212362298589</v>
      </c>
      <c r="M14" s="258">
        <f>SUMIF('[4]SLR calcs'!$E6:'[4]SLR calcs'!$E663, "North Richmond CDP",'[4]SLR calcs'!AL6:'[4]SLR calcs'!AL663)</f>
        <v>38.86373324357006</v>
      </c>
      <c r="N14" s="258">
        <f>SUMIF('[4]SLR calcs'!$E6:'[4]SLR calcs'!$E663, "North Richmond CDP",'[4]SLR calcs'!AM6:'[4]SLR calcs'!AM663)</f>
        <v>113.43134035655581</v>
      </c>
      <c r="O14" s="258">
        <f>SUMIF('[4]SLR calcs'!$E6:'[4]SLR calcs'!$E663, "North Richmond CDP",'[4]SLR calcs'!AP6:'[4]SLR calcs'!AP663)</f>
        <v>56.959266635579226</v>
      </c>
      <c r="P14" s="258">
        <f>SUMIF('[4]SLR calcs'!$E6:'[4]SLR calcs'!$E663, "North Richmond CDP",'[4]SLR calcs'!AQ6:'[4]SLR calcs'!AQ663)</f>
        <v>165.98878325508898</v>
      </c>
    </row>
    <row r="15" spans="1:25">
      <c r="A15" s="257" t="s">
        <v>97</v>
      </c>
      <c r="B15" s="258">
        <f>SUMIF('[4]FZ calcs'!$G3:'[4]FZ calcs'!$G765, "Pinole city",'[4]FZ calcs'!K3:'[4]FZ calcs'!K765)</f>
        <v>15.241792374714029</v>
      </c>
      <c r="C15" s="258">
        <f>SUMIF('[4]FZ calcs'!$G3:'[4]FZ calcs'!$G765, "Pinole city",'[4]FZ calcs'!L3:'[4]FZ calcs'!L765)</f>
        <v>38.000474931762511</v>
      </c>
      <c r="D15" s="259"/>
      <c r="E15" s="258">
        <f>SUMIF('[4]SLR calcs'!$E6:'[4]SLR calcs'!$E663, "Pinole city",'[4]SLR calcs'!V6:'[4]SLR calcs'!V663)</f>
        <v>1.2047925031064517</v>
      </c>
      <c r="F15" s="258">
        <f>SUMIF('[4]SLR calcs'!$E6:'[4]SLR calcs'!$E663, "Pinole city",'[4]SLR calcs'!W6:'[4]SLR calcs'!W663)</f>
        <v>3.2310953998381509</v>
      </c>
      <c r="G15" s="258">
        <f>SUMIF('[4]SLR calcs'!$E6:'[4]SLR calcs'!$E663, "Pinole city",'[4]SLR calcs'!Z6:'[4]SLR calcs'!Z663)</f>
        <v>1.6001243457784706</v>
      </c>
      <c r="H15" s="258">
        <f>SUMIF('[4]SLR calcs'!$E6:'[4]SLR calcs'!$E663, "Pinole city",'[4]SLR calcs'!AA6:'[4]SLR calcs'!AA663)</f>
        <v>4.2942436334531964</v>
      </c>
      <c r="I15" s="258">
        <f>SUMIF('[4]SLR calcs'!$E6:'[4]SLR calcs'!$E663, "Pinole city",'[4]SLR calcs'!AD6:'[4]SLR calcs'!AD663)</f>
        <v>1.9189557093645819</v>
      </c>
      <c r="J15" s="258">
        <f>SUMIF('[4]SLR calcs'!$E6:'[4]SLR calcs'!$E663, "Pinole city",'[4]SLR calcs'!AE6:'[4]SLR calcs'!AE663)</f>
        <v>5.1338513161508414</v>
      </c>
      <c r="K15" s="258">
        <f>SUMIF('[4]SLR calcs'!$E6:'[4]SLR calcs'!$E663, "Pinole city",'[4]SLR calcs'!AH6:'[4]SLR calcs'!AH663)</f>
        <v>3.1156865751252241</v>
      </c>
      <c r="L15" s="258">
        <f>SUMIF('[4]SLR calcs'!$E6:'[4]SLR calcs'!$E663, "Pinole city",'[4]SLR calcs'!AI6:'[4]SLR calcs'!AI663)</f>
        <v>8.2287633875939079</v>
      </c>
      <c r="M15" s="258">
        <f>SUMIF('[4]SLR calcs'!$E6:'[4]SLR calcs'!$E663, "Pinole city",'[4]SLR calcs'!AL6:'[4]SLR calcs'!AL663)</f>
        <v>15.185874456067445</v>
      </c>
      <c r="N15" s="258">
        <f>SUMIF('[4]SLR calcs'!$E6:'[4]SLR calcs'!$E663, "Pinole city",'[4]SLR calcs'!AM6:'[4]SLR calcs'!AM663)</f>
        <v>41.291734332392899</v>
      </c>
      <c r="O15" s="258">
        <f>SUMIF('[4]SLR calcs'!$E6:'[4]SLR calcs'!$E663, "Pinole city",'[4]SLR calcs'!AP6:'[4]SLR calcs'!AP663)</f>
        <v>30.043956650322478</v>
      </c>
      <c r="P15" s="258">
        <f>SUMIF('[4]SLR calcs'!$E6:'[4]SLR calcs'!$E663, "Pinole city",'[4]SLR calcs'!AQ6:'[4]SLR calcs'!AQ663)</f>
        <v>81.993215678393639</v>
      </c>
    </row>
    <row r="16" spans="1:25" s="260" customFormat="1">
      <c r="A16" s="257" t="s">
        <v>94</v>
      </c>
      <c r="B16" s="258">
        <f>SUMIF('[4]FZ calcs'!$G3:'[4]FZ calcs'!$G765, "Pittsburg city",'[4]FZ calcs'!K3:'[4]FZ calcs'!K765)</f>
        <v>16.429858925234075</v>
      </c>
      <c r="C16" s="258">
        <f>SUMIF('[4]FZ calcs'!$G3:'[4]FZ calcs'!$G765, "Pittsburg city",'[4]FZ calcs'!L3:'[4]FZ calcs'!L765)</f>
        <v>20.617862180685901</v>
      </c>
      <c r="D16" s="259"/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X16" s="261"/>
      <c r="Y16" s="261"/>
    </row>
    <row r="17" spans="1:25" s="260" customFormat="1">
      <c r="A17" s="257" t="s">
        <v>91</v>
      </c>
      <c r="B17" s="258">
        <f>SUMIF('[4]FZ calcs'!$G3:'[4]FZ calcs'!$G765, "Port Costa CDP",'[4]FZ calcs'!K3:'[4]FZ calcs'!K765)</f>
        <v>43.850495497263999</v>
      </c>
      <c r="C17" s="258">
        <f>SUMIF('[4]FZ calcs'!$G3:'[4]FZ calcs'!$G765, "Port Costa CDP",'[4]FZ calcs'!L3:'[4]FZ calcs'!L765)</f>
        <v>75.830735602572446</v>
      </c>
      <c r="D17" s="259"/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X17" s="261"/>
      <c r="Y17" s="261"/>
    </row>
    <row r="18" spans="1:25">
      <c r="A18" s="257" t="s">
        <v>108</v>
      </c>
      <c r="B18" s="258">
        <f>SUMIF('[4]FZ calcs'!$G3:'[4]FZ calcs'!$G765, "Richmond city",'[4]FZ calcs'!K3:'[4]FZ calcs'!K765)</f>
        <v>111.57267552116423</v>
      </c>
      <c r="C18" s="258">
        <f>SUMIF('[4]FZ calcs'!$G3:'[4]FZ calcs'!$G765, "Richmond city",'[4]FZ calcs'!L3:'[4]FZ calcs'!L765)</f>
        <v>240.12665224294801</v>
      </c>
      <c r="D18" s="259"/>
      <c r="E18" s="258">
        <f>SUMIF('[4]SLR calcs'!$E6:'[4]SLR calcs'!$E663, "Richmond city",'[4]SLR calcs'!V6:'[4]SLR calcs'!V663)</f>
        <v>44.258060968302843</v>
      </c>
      <c r="F18" s="258">
        <f>SUMIF('[4]SLR calcs'!$E6:'[4]SLR calcs'!$E663, "Richmond city",'[4]SLR calcs'!W6:'[4]SLR calcs'!W663)</f>
        <v>79.716925131241936</v>
      </c>
      <c r="G18" s="258">
        <f>SUMIF('[4]SLR calcs'!$E6:'[4]SLR calcs'!$E663, "Richmond city",'[4]SLR calcs'!Z6:'[4]SLR calcs'!Z663)</f>
        <v>53.493400785582992</v>
      </c>
      <c r="H18" s="258">
        <f>SUMIF('[4]SLR calcs'!$E6:'[4]SLR calcs'!$E663, "Richmond city",'[4]SLR calcs'!AA6:'[4]SLR calcs'!AA663)</f>
        <v>96.390935107507175</v>
      </c>
      <c r="I18" s="258">
        <f>SUMIF('[4]SLR calcs'!$E6:'[4]SLR calcs'!$E663, "Richmond city",'[4]SLR calcs'!AD6:'[4]SLR calcs'!AD663)</f>
        <v>62.23423761574184</v>
      </c>
      <c r="J18" s="258">
        <f>SUMIF('[4]SLR calcs'!$E6:'[4]SLR calcs'!$E663, "Richmond city",'[4]SLR calcs'!AE6:'[4]SLR calcs'!AE663)</f>
        <v>112.25821138392526</v>
      </c>
      <c r="K18" s="258">
        <f>SUMIF('[4]SLR calcs'!$E6:'[4]SLR calcs'!$E663, "Richmond city",'[4]SLR calcs'!AH6:'[4]SLR calcs'!AH663)</f>
        <v>82.739025473482798</v>
      </c>
      <c r="L18" s="258">
        <f>SUMIF('[4]SLR calcs'!$E6:'[4]SLR calcs'!$E663, "Richmond city",'[4]SLR calcs'!AI6:'[4]SLR calcs'!AI663)</f>
        <v>164.09780470946606</v>
      </c>
      <c r="M18" s="258">
        <f>SUMIF('[4]SLR calcs'!$E6:'[4]SLR calcs'!$E663, "Richmond city",'[4]SLR calcs'!AL6:'[4]SLR calcs'!AL663)</f>
        <v>154.62994938051065</v>
      </c>
      <c r="N18" s="258">
        <f>SUMIF('[4]SLR calcs'!$E6:'[4]SLR calcs'!$E663, "Richmond city",'[4]SLR calcs'!AM6:'[4]SLR calcs'!AM663)</f>
        <v>342.84395107035698</v>
      </c>
      <c r="O18" s="258">
        <f>SUMIF('[4]SLR calcs'!$E6:'[4]SLR calcs'!$E663, "Richmond city",'[4]SLR calcs'!AP6:'[4]SLR calcs'!AP663)</f>
        <v>322.84070758453095</v>
      </c>
      <c r="P18" s="258">
        <f>SUMIF('[4]SLR calcs'!$E6:'[4]SLR calcs'!$E663, "Richmond city",'[4]SLR calcs'!AQ6:'[4]SLR calcs'!AQ663)</f>
        <v>757.15135284992289</v>
      </c>
    </row>
    <row r="19" spans="1:25">
      <c r="A19" s="257" t="s">
        <v>105</v>
      </c>
      <c r="B19" s="258">
        <f>SUMIF('[4]FZ calcs'!$G3:'[4]FZ calcs'!$G765, "Rodeo CDP",'[4]FZ calcs'!K3:'[4]FZ calcs'!K765)</f>
        <v>294.1132139090667</v>
      </c>
      <c r="C19" s="258">
        <f>SUMIF('[4]FZ calcs'!$G3:'[4]FZ calcs'!$G765, "Rodeo CDP",'[4]FZ calcs'!L3:'[4]FZ calcs'!L765)</f>
        <v>704.10540564810174</v>
      </c>
      <c r="D19" s="259"/>
      <c r="E19" s="258">
        <f>SUMIF('[4]SLR calcs'!$E6:'[4]SLR calcs'!$E663, "Rodeo CDP",'[4]SLR calcs'!V6:'[4]SLR calcs'!V663)</f>
        <v>0</v>
      </c>
      <c r="F19" s="258">
        <f>SUMIF('[4]SLR calcs'!$E6:'[4]SLR calcs'!$E663, "Rodeo CDP",'[4]SLR calcs'!W6:'[4]SLR calcs'!W663)</f>
        <v>2.0879517942355701E-2</v>
      </c>
      <c r="G19" s="258">
        <f>SUMIF('[4]SLR calcs'!$E6:'[4]SLR calcs'!$E663, "Rodeo CDP",'[4]SLR calcs'!Z6:'[4]SLR calcs'!Z663)</f>
        <v>0</v>
      </c>
      <c r="H19" s="258">
        <f>SUMIF('[4]SLR calcs'!$E6:'[4]SLR calcs'!$E663, "Rodeo CDP",'[4]SLR calcs'!AA6:'[4]SLR calcs'!AA663)</f>
        <v>8.1342789480426753E-2</v>
      </c>
      <c r="I19" s="258">
        <f>SUMIF('[4]SLR calcs'!$E6:'[4]SLR calcs'!$E663, "Rodeo CDP",'[4]SLR calcs'!AD6:'[4]SLR calcs'!AD663)</f>
        <v>0</v>
      </c>
      <c r="J19" s="258">
        <f>SUMIF('[4]SLR calcs'!$E6:'[4]SLR calcs'!$E663, "Rodeo CDP",'[4]SLR calcs'!AE6:'[4]SLR calcs'!AE663)</f>
        <v>0.29894678378940537</v>
      </c>
      <c r="K19" s="258">
        <f>SUMIF('[4]SLR calcs'!$E6:'[4]SLR calcs'!$E663, "Rodeo CDP",'[4]SLR calcs'!AH6:'[4]SLR calcs'!AH663)</f>
        <v>0</v>
      </c>
      <c r="L19" s="258">
        <f>SUMIF('[4]SLR calcs'!$E6:'[4]SLR calcs'!$E663, "Rodeo CDP",'[4]SLR calcs'!AI6:'[4]SLR calcs'!AI663)</f>
        <v>0.38928516861838375</v>
      </c>
      <c r="M19" s="258">
        <f>SUMIF('[4]SLR calcs'!$E6:'[4]SLR calcs'!$E663, "Rodeo CDP",'[4]SLR calcs'!AL6:'[4]SLR calcs'!AL663)</f>
        <v>0</v>
      </c>
      <c r="N19" s="258">
        <f>SUMIF('[4]SLR calcs'!$E6:'[4]SLR calcs'!$E663, "Rodeo CDP",'[4]SLR calcs'!AM6:'[4]SLR calcs'!AM663)</f>
        <v>0.52734231635123097</v>
      </c>
      <c r="O19" s="258">
        <f>SUMIF('[4]SLR calcs'!$E6:'[4]SLR calcs'!$E663, "Rodeo CDP",'[4]SLR calcs'!AP6:'[4]SLR calcs'!AP663)</f>
        <v>207.79127410798071</v>
      </c>
      <c r="P19" s="258">
        <f>SUMIF('[4]SLR calcs'!$E6:'[4]SLR calcs'!$E663, "Rodeo CDP",'[4]SLR calcs'!AQ6:'[4]SLR calcs'!AQ663)</f>
        <v>505.90824796286495</v>
      </c>
    </row>
    <row r="20" spans="1:25">
      <c r="A20" s="257" t="s">
        <v>102</v>
      </c>
      <c r="B20" s="258">
        <f>SUMIF('[4]FZ calcs'!$G3:'[4]FZ calcs'!$G765, "San Pablo city",'[4]FZ calcs'!K3:'[4]FZ calcs'!K765)</f>
        <v>1066.397544104128</v>
      </c>
      <c r="C20" s="258">
        <f>SUMIF('[4]FZ calcs'!$G3:'[4]FZ calcs'!$G765, "San Pablo city",'[4]FZ calcs'!L3:'[4]FZ calcs'!L765)</f>
        <v>3012.8657763793922</v>
      </c>
      <c r="D20" s="259"/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</row>
    <row r="21" spans="1:25">
      <c r="A21" s="257" t="s">
        <v>99</v>
      </c>
      <c r="B21" s="258">
        <f>SUMIF('[4]FZ calcs'!$G3:'[4]FZ calcs'!$G765, "Tara Hills CDP",'[4]FZ calcs'!K3:'[4]FZ calcs'!K765)</f>
        <v>1.7348299518564958</v>
      </c>
      <c r="C21" s="258">
        <f>SUMIF('[4]FZ calcs'!$G3:'[4]FZ calcs'!$G765, "Tara Hills CDP",'[4]FZ calcs'!L3:'[4]FZ calcs'!L765)</f>
        <v>5.2430416322774089</v>
      </c>
      <c r="D21" s="259"/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</row>
    <row r="22" spans="1:25">
      <c r="A22" s="257" t="s">
        <v>96</v>
      </c>
      <c r="B22" s="258">
        <f>SUMIF('[4]FZ calcs'!$G3:'[4]FZ calcs'!$G765, "Vine Hill CDP",'[4]FZ calcs'!K3:'[4]FZ calcs'!K765)</f>
        <v>64.644369872552375</v>
      </c>
      <c r="C22" s="258">
        <f>SUMIF('[4]FZ calcs'!$G3:'[4]FZ calcs'!$G765, "Vine Hill CDP",'[4]FZ calcs'!L3:'[4]FZ calcs'!L765)</f>
        <v>179.38171831123407</v>
      </c>
      <c r="D22" s="259"/>
      <c r="E22" s="258">
        <f>SUMIF('[4]SLR calcs'!$E6:'[4]SLR calcs'!$E663, "Vine Hill CDP",'[4]SLR calcs'!V6:'[4]SLR calcs'!V663)</f>
        <v>1.1504861863311167</v>
      </c>
      <c r="F22" s="258">
        <f>SUMIF('[4]SLR calcs'!$E6:'[4]SLR calcs'!$E663, "Vine Hill CDP",'[4]SLR calcs'!W6:'[4]SLR calcs'!W663)</f>
        <v>3.5758354440021192</v>
      </c>
      <c r="G22" s="258">
        <f>SUMIF('[4]SLR calcs'!$E6:'[4]SLR calcs'!$E663, "Vine Hill CDP",'[4]SLR calcs'!Z6:'[4]SLR calcs'!Z663)</f>
        <v>2.3942476044075631</v>
      </c>
      <c r="H22" s="258">
        <f>SUMIF('[4]SLR calcs'!$E6:'[4]SLR calcs'!$E663, "Vine Hill CDP",'[4]SLR calcs'!AA6:'[4]SLR calcs'!AA663)</f>
        <v>7.4415803920775607</v>
      </c>
      <c r="I22" s="258">
        <f>SUMIF('[4]SLR calcs'!$E6:'[4]SLR calcs'!$E663, "Vine Hill CDP",'[4]SLR calcs'!AD6:'[4]SLR calcs'!AD663)</f>
        <v>3.8629339583398878</v>
      </c>
      <c r="J22" s="258">
        <f>SUMIF('[4]SLR calcs'!$E6:'[4]SLR calcs'!$E663, "Vine Hill CDP",'[4]SLR calcs'!AE6:'[4]SLR calcs'!AE663)</f>
        <v>12.006416357002355</v>
      </c>
      <c r="K22" s="258">
        <f>SUMIF('[4]SLR calcs'!$E6:'[4]SLR calcs'!$E663, "Vine Hill CDP",'[4]SLR calcs'!AH6:'[4]SLR calcs'!AH663)</f>
        <v>6.368649009857414</v>
      </c>
      <c r="L22" s="258">
        <f>SUMIF('[4]SLR calcs'!$E6:'[4]SLR calcs'!$E663, "Vine Hill CDP",'[4]SLR calcs'!AI6:'[4]SLR calcs'!AI663)</f>
        <v>19.794449625232502</v>
      </c>
      <c r="M22" s="258">
        <f>SUMIF('[4]SLR calcs'!$E6:'[4]SLR calcs'!$E663, "Vine Hill CDP",'[4]SLR calcs'!AL6:'[4]SLR calcs'!AL663)</f>
        <v>9.2507738661505829</v>
      </c>
      <c r="N22" s="258">
        <f>SUMIF('[4]SLR calcs'!$E6:'[4]SLR calcs'!$E663, "Vine Hill CDP",'[4]SLR calcs'!AM6:'[4]SLR calcs'!AM663)</f>
        <v>28.757154025572746</v>
      </c>
      <c r="O22" s="258">
        <f>SUMIF('[4]SLR calcs'!$E6:'[4]SLR calcs'!$E663, "Vine Hill CDP",'[4]SLR calcs'!AP6:'[4]SLR calcs'!AP663)</f>
        <v>12.015790049572873</v>
      </c>
      <c r="P22" s="258">
        <f>SUMIF('[4]SLR calcs'!$E6:'[4]SLR calcs'!$E663, "Vine Hill CDP",'[4]SLR calcs'!AQ6:'[4]SLR calcs'!AQ663)</f>
        <v>37.430731037678214</v>
      </c>
    </row>
    <row r="23" spans="1:25">
      <c r="A23" s="257"/>
      <c r="B23" s="255"/>
      <c r="C23" s="258"/>
      <c r="D23" s="259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</row>
    <row r="24" spans="1:25" s="62" customFormat="1">
      <c r="A24" s="257" t="s">
        <v>129</v>
      </c>
      <c r="B24" s="255">
        <f>SUM(B4:B22)</f>
        <v>3795.2858325170209</v>
      </c>
      <c r="C24" s="255">
        <f>SUM(C4:C22)</f>
        <v>8742.0619187869215</v>
      </c>
      <c r="D24" s="256"/>
      <c r="E24" s="255">
        <f>SUM(E4:E22)</f>
        <v>69.325253387061906</v>
      </c>
      <c r="F24" s="255">
        <f>SUM(F4:F22)</f>
        <v>142.76373717280865</v>
      </c>
      <c r="G24" s="255">
        <f>SUM(G4:G22)</f>
        <v>88.525720925299979</v>
      </c>
      <c r="H24" s="255">
        <f>SUM(H4:H22)</f>
        <v>183.33256228835512</v>
      </c>
      <c r="I24" s="255">
        <f>SUM(I4:I22)</f>
        <v>108.58750626403416</v>
      </c>
      <c r="J24" s="255">
        <f>SUM(J4:J22)</f>
        <v>228.40368206404383</v>
      </c>
      <c r="K24" s="255">
        <f>SUM(K4:K22)</f>
        <v>162.25247432336104</v>
      </c>
      <c r="L24" s="255">
        <f>SUM(L4:L22)</f>
        <v>364.98164794691343</v>
      </c>
      <c r="M24" s="255">
        <f>SUM(M4:M22)</f>
        <v>297.84839866229061</v>
      </c>
      <c r="N24" s="255">
        <f>SUM(N4:N22)</f>
        <v>723.20225430156518</v>
      </c>
      <c r="O24" s="255">
        <f>SUM(O4:O22)</f>
        <v>740.57245321727328</v>
      </c>
      <c r="P24" s="255">
        <f>SUM(P4:P22)</f>
        <v>1821.0871766192874</v>
      </c>
      <c r="X24" s="242"/>
      <c r="Y24" s="242"/>
    </row>
    <row r="27" spans="1:25" s="62" customFormat="1">
      <c r="B27" s="206"/>
      <c r="C27" s="206"/>
      <c r="D27" s="243"/>
      <c r="E27" s="206" t="s">
        <v>144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X27" s="242"/>
      <c r="Y27" s="242"/>
    </row>
    <row r="28" spans="1:25" s="251" customFormat="1" ht="43" customHeight="1" thickBot="1">
      <c r="A28" s="254" t="s">
        <v>112</v>
      </c>
      <c r="B28" s="252" t="s">
        <v>158</v>
      </c>
      <c r="C28" s="252" t="s">
        <v>157</v>
      </c>
      <c r="D28" s="253"/>
      <c r="E28" s="252" t="s">
        <v>156</v>
      </c>
      <c r="F28" s="252" t="s">
        <v>155</v>
      </c>
      <c r="G28" s="252" t="s">
        <v>154</v>
      </c>
      <c r="H28" s="252" t="s">
        <v>153</v>
      </c>
      <c r="I28" s="252" t="s">
        <v>152</v>
      </c>
      <c r="J28" s="252" t="s">
        <v>151</v>
      </c>
      <c r="K28" s="252" t="s">
        <v>150</v>
      </c>
      <c r="L28" s="252" t="s">
        <v>149</v>
      </c>
      <c r="M28" s="252" t="s">
        <v>148</v>
      </c>
      <c r="N28" s="252" t="s">
        <v>147</v>
      </c>
      <c r="O28" s="252" t="s">
        <v>146</v>
      </c>
      <c r="P28" s="252" t="s">
        <v>145</v>
      </c>
      <c r="X28" s="252"/>
      <c r="Y28" s="252"/>
    </row>
    <row r="29" spans="1:25" ht="15" thickTop="1">
      <c r="A29" s="250" t="s">
        <v>114</v>
      </c>
      <c r="B29" s="206">
        <f>B3-O29</f>
        <v>3497.719294207589</v>
      </c>
      <c r="C29" s="206">
        <f>C3-P29</f>
        <v>8053.4816528570364</v>
      </c>
      <c r="E29" s="204">
        <f>SUM('[4]SLR + FZ calcs'!Q2:Q373)</f>
        <v>45.241798633747322</v>
      </c>
      <c r="F29" s="204">
        <f>SUM('[4]SLR + FZ calcs'!R2:R373)</f>
        <v>93.883327704692789</v>
      </c>
      <c r="G29" s="204">
        <f>SUM('[4]SLR + FZ calcs'!U2:U373)</f>
        <v>56.649378325990767</v>
      </c>
      <c r="H29" s="204">
        <f>SUM('[4]SLR + FZ calcs'!V2:V373)</f>
        <v>118.02953122798884</v>
      </c>
      <c r="I29" s="204">
        <f>SUM('[4]SLR + FZ calcs'!Y2:Y373)</f>
        <v>63.447026475270889</v>
      </c>
      <c r="J29" s="204">
        <f>SUM('[4]SLR + FZ calcs'!Z2:Z373)</f>
        <v>132.95727470937976</v>
      </c>
      <c r="K29" s="204">
        <f>SUM('[4]SLR + FZ calcs'!AC2:AC373)</f>
        <v>73.952383701849286</v>
      </c>
      <c r="L29" s="204">
        <f>SUM('[4]SLR + FZ calcs'!AD2:AD373)</f>
        <v>156.16698238965463</v>
      </c>
      <c r="M29" s="204">
        <f>SUM('[4]SLR + FZ calcs'!AG2:AG373)</f>
        <v>85.697278833394847</v>
      </c>
      <c r="N29" s="204">
        <f>SUM('[4]SLR + FZ calcs'!AH2:AH373)</f>
        <v>183.81481789662845</v>
      </c>
      <c r="O29" s="204">
        <f>SUM('[4]SLR + FZ calcs'!AK2:AK373)</f>
        <v>298.77259509429553</v>
      </c>
      <c r="P29" s="204">
        <f>SUM('[4]SLR + FZ calcs'!AL2:AL373)</f>
        <v>699.41581223135222</v>
      </c>
    </row>
    <row r="30" spans="1:25">
      <c r="A30" s="250" t="s">
        <v>110</v>
      </c>
      <c r="B30" s="210">
        <f>B4-O30</f>
        <v>92.699799112847899</v>
      </c>
      <c r="C30" s="210">
        <f>C4-P30</f>
        <v>281.20501008869229</v>
      </c>
      <c r="E30" s="204">
        <f>SUMIF('[4]SLR + FZ calcs'!$D:$D,"Bay Point CDP",'[4]SLR + FZ calcs'!Q:Q)</f>
        <v>0.47701787816233882</v>
      </c>
      <c r="F30" s="204">
        <f>SUMIF('[4]SLR + FZ calcs'!$D:$D,"Bay Point CDP",'[4]SLR + FZ calcs'!R:R)</f>
        <v>0.47701787816233882</v>
      </c>
      <c r="G30" s="204">
        <f>SUMIF('[4]SLR + FZ calcs'!$D:$D,"Bay Point CDP",'[4]SLR + FZ calcs'!U:U)</f>
        <v>0.72314366649338857</v>
      </c>
      <c r="H30" s="204">
        <f>SUMIF('[4]SLR + FZ calcs'!$D:$D,"Bay Point CDP",'[4]SLR + FZ calcs'!V:V)</f>
        <v>0.72314366649338857</v>
      </c>
      <c r="I30" s="204">
        <f>SUMIF('[4]SLR + FZ calcs'!$D:$D,"Bay Point CDP",'[4]SLR + FZ calcs'!Y:Y)</f>
        <v>0.75563046997185002</v>
      </c>
      <c r="J30" s="204">
        <f>SUMIF('[4]SLR + FZ calcs'!$D:$D,"Bay Point CDP",'[4]SLR + FZ calcs'!Z:Z)</f>
        <v>0.75563046997185002</v>
      </c>
      <c r="K30" s="204">
        <f>SUMIF('[4]SLR + FZ calcs'!$D:$D,"Bay Point CDP",'[4]SLR + FZ calcs'!AC:AC)</f>
        <v>0.8094820810380442</v>
      </c>
      <c r="L30" s="204">
        <f>SUMIF('[4]SLR + FZ calcs'!$D:$D,"Bay Point CDP",'[4]SLR + FZ calcs'!AD:AD)</f>
        <v>0.8094820810380442</v>
      </c>
      <c r="M30" s="204">
        <f>SUMIF('[4]SLR + FZ calcs'!$D:$D,"Bay Point CDP",'[4]SLR + FZ calcs'!AG:AG)</f>
        <v>0.83305680129312043</v>
      </c>
      <c r="N30" s="204">
        <f>SUMIF('[4]SLR + FZ calcs'!$D:$D,"Bay Point CDP",'[4]SLR + FZ calcs'!AH:AH)</f>
        <v>0.83305680129312043</v>
      </c>
      <c r="O30" s="204">
        <f>SUMIF('[4]SLR + FZ calcs'!$D:$D,"Bay Point CDP",'[4]SLR + FZ calcs'!AK:AK)</f>
        <v>0.8419019053398894</v>
      </c>
      <c r="P30" s="204">
        <f>SUMIF('[4]SLR + FZ calcs'!$D:$D,"Bay Point CDP",'[4]SLR + FZ calcs'!AL:AL)</f>
        <v>0.8419019053398894</v>
      </c>
    </row>
    <row r="31" spans="1:25">
      <c r="A31" s="250" t="s">
        <v>107</v>
      </c>
      <c r="B31" s="210">
        <f>B5-O31</f>
        <v>0.5448603911187444</v>
      </c>
      <c r="C31" s="210">
        <f>C5-P31</f>
        <v>1.5499323467368669</v>
      </c>
      <c r="E31" s="204">
        <f>SUMIF('[4]SLR + FZ calcs'!$D:$D,"Bayview CDP",'[4]SLR + FZ calcs'!Q:Q)</f>
        <v>4.7195994929815219</v>
      </c>
      <c r="F31" s="204">
        <f>SUMIF('[4]SLR + FZ calcs'!$D:$D,"Bayview CDP",'[4]SLR + FZ calcs'!R:R)</f>
        <v>12.473769151738466</v>
      </c>
      <c r="G31" s="204">
        <f>SUMIF('[4]SLR + FZ calcs'!$D:$D,"Bayview CDP",'[4]SLR + FZ calcs'!U:U)</f>
        <v>6.1155761209533299</v>
      </c>
      <c r="H31" s="204">
        <f>SUMIF('[4]SLR + FZ calcs'!$D:$D,"Bayview CDP",'[4]SLR + FZ calcs'!V:V)</f>
        <v>16.172550790122592</v>
      </c>
      <c r="I31" s="204">
        <f>SUMIF('[4]SLR + FZ calcs'!$D:$D,"Bayview CDP",'[4]SLR + FZ calcs'!Y:Y)</f>
        <v>6.9816150761946352</v>
      </c>
      <c r="J31" s="204">
        <f>SUMIF('[4]SLR + FZ calcs'!$D:$D,"Bayview CDP",'[4]SLR + FZ calcs'!Z:Z)</f>
        <v>18.509645150865488</v>
      </c>
      <c r="K31" s="204">
        <f>SUMIF('[4]SLR + FZ calcs'!$D:$D,"Bayview CDP",'[4]SLR + FZ calcs'!AC:AC)</f>
        <v>9.8995573388111655</v>
      </c>
      <c r="L31" s="204">
        <f>SUMIF('[4]SLR + FZ calcs'!$D:$D,"Bayview CDP",'[4]SLR + FZ calcs'!AD:AD)</f>
        <v>26.496740591684045</v>
      </c>
      <c r="M31" s="204">
        <f>SUMIF('[4]SLR + FZ calcs'!$D:$D,"Bayview CDP",'[4]SLR + FZ calcs'!AG:AG)</f>
        <v>11.630746502000266</v>
      </c>
      <c r="N31" s="204">
        <f>SUMIF('[4]SLR + FZ calcs'!$D:$D,"Bayview CDP",'[4]SLR + FZ calcs'!AH:AH)</f>
        <v>31.232426725515403</v>
      </c>
      <c r="O31" s="204">
        <f>SUMIF('[4]SLR + FZ calcs'!$D:$D,"Bayview CDP",'[4]SLR + FZ calcs'!AK:AK)</f>
        <v>12.231434513978725</v>
      </c>
      <c r="P31" s="204">
        <f>SUMIF('[4]SLR + FZ calcs'!$D:$D,"Bayview CDP",'[4]SLR + FZ calcs'!AL:AL)</f>
        <v>32.900142352074994</v>
      </c>
    </row>
    <row r="32" spans="1:25">
      <c r="A32" s="250" t="s">
        <v>104</v>
      </c>
      <c r="B32" s="210">
        <f>B6-O32</f>
        <v>2.6144511957511336E-2</v>
      </c>
      <c r="C32" s="210">
        <f>C6-P32</f>
        <v>3.9839256316207751E-2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</row>
    <row r="33" spans="1:16">
      <c r="A33" s="250" t="s">
        <v>101</v>
      </c>
      <c r="B33" s="210">
        <f>B7-O33</f>
        <v>4.0779160967726193</v>
      </c>
      <c r="C33" s="210">
        <f>C7-P33</f>
        <v>17.168893811857952</v>
      </c>
      <c r="E33" s="204">
        <f>SUMIF('[4]SLR + FZ calcs'!$D:$D,"Concord city",'[4]SLR + FZ calcs'!Q:Q)</f>
        <v>0</v>
      </c>
      <c r="F33" s="204">
        <f>SUMIF('[4]SLR + FZ calcs'!$D:$D,"Concord city",'[4]SLR + FZ calcs'!R:R)</f>
        <v>0.11947998272680251</v>
      </c>
      <c r="G33" s="204">
        <f>SUMIF('[4]SLR + FZ calcs'!$D:$D,"Concord city",'[4]SLR + FZ calcs'!U:U)</f>
        <v>0</v>
      </c>
      <c r="H33" s="204">
        <f>SUMIF('[4]SLR + FZ calcs'!$D:$D,"Concord city",'[4]SLR + FZ calcs'!V:V)</f>
        <v>0.29260479452877086</v>
      </c>
      <c r="I33" s="204">
        <f>SUMIF('[4]SLR + FZ calcs'!$D:$D,"Concord city",'[4]SLR + FZ calcs'!Y:Y)</f>
        <v>0</v>
      </c>
      <c r="J33" s="204">
        <f>SUMIF('[4]SLR + FZ calcs'!$D:$D,"Concord city",'[4]SLR + FZ calcs'!Z:Z)</f>
        <v>0.54090170506089608</v>
      </c>
      <c r="K33" s="204">
        <f>SUMIF('[4]SLR + FZ calcs'!$D:$D,"Concord city",'[4]SLR + FZ calcs'!AC:AC)</f>
        <v>0</v>
      </c>
      <c r="L33" s="204">
        <f>SUMIF('[4]SLR + FZ calcs'!$D:$D,"Concord city",'[4]SLR + FZ calcs'!AD:AD)</f>
        <v>0.59197365676126956</v>
      </c>
      <c r="M33" s="204">
        <f>SUMIF('[4]SLR + FZ calcs'!$D:$D,"Concord city",'[4]SLR + FZ calcs'!AG:AG)</f>
        <v>0</v>
      </c>
      <c r="N33" s="204">
        <f>SUMIF('[4]SLR + FZ calcs'!$D:$D,"Concord city",'[4]SLR + FZ calcs'!AH:AH)</f>
        <v>0.65237731746686833</v>
      </c>
      <c r="O33" s="204">
        <f>SUMIF('[4]SLR + FZ calcs'!$D:$D,"Concord city",'[4]SLR + FZ calcs'!AK:AK)</f>
        <v>0</v>
      </c>
      <c r="P33" s="204">
        <f>SUMIF('[4]SLR + FZ calcs'!$D:$D,"Concord city",'[4]SLR + FZ calcs'!AL:AL)</f>
        <v>0.69197945213689394</v>
      </c>
    </row>
    <row r="34" spans="1:16">
      <c r="A34" s="250" t="s">
        <v>98</v>
      </c>
      <c r="B34" s="210">
        <f>B8-O34</f>
        <v>21.468897288370901</v>
      </c>
      <c r="C34" s="210">
        <f>C8-P34</f>
        <v>42.825418841414802</v>
      </c>
      <c r="E34" s="204">
        <f>SUMIF('[4]SLR + FZ calcs'!$D:$D,"Crockett CDP",'[4]SLR + FZ calcs'!Q:Q)</f>
        <v>1.603798598086377E-2</v>
      </c>
      <c r="F34" s="204">
        <f>SUMIF('[4]SLR + FZ calcs'!$D:$D,"Crockett CDP",'[4]SLR + FZ calcs'!R:R)</f>
        <v>4.0094964952159425E-2</v>
      </c>
      <c r="G34" s="204">
        <f>SUMIF('[4]SLR + FZ calcs'!$D:$D,"Crockett CDP",'[4]SLR + FZ calcs'!U:U)</f>
        <v>2.1594930449907984E-2</v>
      </c>
      <c r="H34" s="204">
        <f>SUMIF('[4]SLR + FZ calcs'!$D:$D,"Crockett CDP",'[4]SLR + FZ calcs'!V:V)</f>
        <v>5.398732612476996E-2</v>
      </c>
      <c r="I34" s="204">
        <f>SUMIF('[4]SLR + FZ calcs'!$D:$D,"Crockett CDP",'[4]SLR + FZ calcs'!Y:Y)</f>
        <v>2.4830271572306179E-2</v>
      </c>
      <c r="J34" s="204">
        <f>SUMIF('[4]SLR + FZ calcs'!$D:$D,"Crockett CDP",'[4]SLR + FZ calcs'!Z:Z)</f>
        <v>6.2075678930765446E-2</v>
      </c>
      <c r="K34" s="204">
        <f>SUMIF('[4]SLR + FZ calcs'!$D:$D,"Crockett CDP",'[4]SLR + FZ calcs'!AC:AC)</f>
        <v>2.5119983462616732E-2</v>
      </c>
      <c r="L34" s="204">
        <f>SUMIF('[4]SLR + FZ calcs'!$D:$D,"Crockett CDP",'[4]SLR + FZ calcs'!AD:AD)</f>
        <v>6.2799958656541824E-2</v>
      </c>
      <c r="M34" s="204">
        <f>SUMIF('[4]SLR + FZ calcs'!$D:$D,"Crockett CDP",'[4]SLR + FZ calcs'!AG:AG)</f>
        <v>2.6681725481651816E-2</v>
      </c>
      <c r="N34" s="204">
        <f>SUMIF('[4]SLR + FZ calcs'!$D:$D,"Crockett CDP",'[4]SLR + FZ calcs'!AH:AH)</f>
        <v>6.6704313704129534E-2</v>
      </c>
      <c r="O34" s="204">
        <f>SUMIF('[4]SLR + FZ calcs'!$D:$D,"Crockett CDP",'[4]SLR + FZ calcs'!AK:AK)</f>
        <v>2.6681725481651816E-2</v>
      </c>
      <c r="P34" s="204">
        <f>SUMIF('[4]SLR + FZ calcs'!$D:$D,"Crockett CDP",'[4]SLR + FZ calcs'!AL:AL)</f>
        <v>6.6704313704129534E-2</v>
      </c>
    </row>
    <row r="35" spans="1:16">
      <c r="A35" s="250" t="s">
        <v>95</v>
      </c>
      <c r="B35" s="210">
        <f>B9-O35</f>
        <v>473.41843064605422</v>
      </c>
      <c r="C35" s="210">
        <f>C9-P35</f>
        <v>937.62193554780356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</row>
    <row r="36" spans="1:16">
      <c r="A36" s="250" t="s">
        <v>92</v>
      </c>
      <c r="B36" s="210">
        <f>B10-O36</f>
        <v>19.854108476479489</v>
      </c>
      <c r="C36" s="210">
        <f>C10-P36</f>
        <v>57.309502288004857</v>
      </c>
      <c r="E36" s="204">
        <f>SUMIF('[4]SLR + FZ calcs'!$D:$D,"Hercules city",'[4]SLR + FZ calcs'!Q:Q)</f>
        <v>3.1037563422481336</v>
      </c>
      <c r="F36" s="204">
        <f>SUMIF('[4]SLR + FZ calcs'!$D:$D,"Hercules city",'[4]SLR + FZ calcs'!R:R)</f>
        <v>8.1925928239826256</v>
      </c>
      <c r="G36" s="204">
        <f>SUMIF('[4]SLR + FZ calcs'!$D:$D,"Hercules city",'[4]SLR + FZ calcs'!U:U)</f>
        <v>3.7885735322724816</v>
      </c>
      <c r="H36" s="204">
        <f>SUMIF('[4]SLR + FZ calcs'!$D:$D,"Hercules city",'[4]SLR + FZ calcs'!V:V)</f>
        <v>9.8988559908777489</v>
      </c>
      <c r="I36" s="204">
        <f>SUMIF('[4]SLR + FZ calcs'!$D:$D,"Hercules city",'[4]SLR + FZ calcs'!Y:Y)</f>
        <v>4.7032403588588112</v>
      </c>
      <c r="J36" s="204">
        <f>SUMIF('[4]SLR + FZ calcs'!$D:$D,"Hercules city",'[4]SLR + FZ calcs'!Z:Z)</f>
        <v>12.132298853623467</v>
      </c>
      <c r="K36" s="204">
        <f>SUMIF('[4]SLR + FZ calcs'!$D:$D,"Hercules city",'[4]SLR + FZ calcs'!AC:AC)</f>
        <v>5.3611835018046898</v>
      </c>
      <c r="L36" s="204">
        <f>SUMIF('[4]SLR + FZ calcs'!$D:$D,"Hercules city",'[4]SLR + FZ calcs'!AD:AD)</f>
        <v>13.714666358790636</v>
      </c>
      <c r="M36" s="204">
        <f>SUMIF('[4]SLR + FZ calcs'!$D:$D,"Hercules city",'[4]SLR + FZ calcs'!AG:AG)</f>
        <v>8.1850537398850047</v>
      </c>
      <c r="N36" s="204">
        <f>SUMIF('[4]SLR + FZ calcs'!$D:$D,"Hercules city",'[4]SLR + FZ calcs'!AH:AH)</f>
        <v>21.439588012274793</v>
      </c>
      <c r="O36" s="204">
        <f>SUMIF('[4]SLR + FZ calcs'!$D:$D,"Hercules city",'[4]SLR + FZ calcs'!AK:AK)</f>
        <v>11.540279615575878</v>
      </c>
      <c r="P36" s="204">
        <f>SUMIF('[4]SLR + FZ calcs'!$D:$D,"Hercules city",'[4]SLR + FZ calcs'!AL:AL)</f>
        <v>30.694753583015576</v>
      </c>
    </row>
    <row r="37" spans="1:16">
      <c r="A37" s="250" t="s">
        <v>109</v>
      </c>
      <c r="B37" s="210">
        <f>B11-O37</f>
        <v>1502.5509168306578</v>
      </c>
      <c r="C37" s="210">
        <f>C11-P37</f>
        <v>2957.0596893754609</v>
      </c>
      <c r="E37" s="204">
        <f>SUMIF('[4]SLR + FZ calcs'!$D:$D,"Martinez city",'[4]SLR + FZ calcs'!Q:Q)</f>
        <v>8.3145697206689579</v>
      </c>
      <c r="F37" s="204">
        <f>SUMIF('[4]SLR + FZ calcs'!$D:$D,"Martinez city",'[4]SLR + FZ calcs'!R:R)</f>
        <v>17.963753779814034</v>
      </c>
      <c r="G37" s="204">
        <f>SUMIF('[4]SLR + FZ calcs'!$D:$D,"Martinez city",'[4]SLR + FZ calcs'!U:U)</f>
        <v>12.196696807283251</v>
      </c>
      <c r="H37" s="204">
        <f>SUMIF('[4]SLR + FZ calcs'!$D:$D,"Martinez city",'[4]SLR + FZ calcs'!V:V)</f>
        <v>25.414656125030213</v>
      </c>
      <c r="I37" s="204">
        <f>SUMIF('[4]SLR + FZ calcs'!$D:$D,"Martinez city",'[4]SLR + FZ calcs'!Y:Y)</f>
        <v>13.909914450568913</v>
      </c>
      <c r="J37" s="204">
        <f>SUMIF('[4]SLR + FZ calcs'!$D:$D,"Martinez city",'[4]SLR + FZ calcs'!Z:Z)</f>
        <v>28.779323632713023</v>
      </c>
      <c r="K37" s="204">
        <f>SUMIF('[4]SLR + FZ calcs'!$D:$D,"Martinez city",'[4]SLR + FZ calcs'!AC:AC)</f>
        <v>15.10963468831121</v>
      </c>
      <c r="L37" s="204">
        <f>SUMIF('[4]SLR + FZ calcs'!$D:$D,"Martinez city",'[4]SLR + FZ calcs'!AD:AD)</f>
        <v>31.390597584137847</v>
      </c>
      <c r="M37" s="204">
        <f>SUMIF('[4]SLR + FZ calcs'!$D:$D,"Martinez city",'[4]SLR + FZ calcs'!AG:AG)</f>
        <v>15.702621992768391</v>
      </c>
      <c r="N37" s="204">
        <f>SUMIF('[4]SLR + FZ calcs'!$D:$D,"Martinez city",'[4]SLR + FZ calcs'!AH:AH)</f>
        <v>33.755243121485847</v>
      </c>
      <c r="O37" s="204">
        <f>SUMIF('[4]SLR + FZ calcs'!$D:$D,"Martinez city",'[4]SLR + FZ calcs'!AK:AK)</f>
        <v>16.262072765318379</v>
      </c>
      <c r="P37" s="204">
        <f>SUMIF('[4]SLR + FZ calcs'!$D:$D,"Martinez city",'[4]SLR + FZ calcs'!AL:AL)</f>
        <v>34.931391226435849</v>
      </c>
    </row>
    <row r="38" spans="1:16">
      <c r="A38" s="250" t="s">
        <v>106</v>
      </c>
      <c r="B38" s="210">
        <f>B12-O38</f>
        <v>9.7644272760910074</v>
      </c>
      <c r="C38" s="210">
        <f>C12-P38</f>
        <v>14.24235631948264</v>
      </c>
      <c r="E38" s="204">
        <f>SUMIF('[4]SLR + FZ calcs'!$D:$D,"Montalvin Manor CDP",'[4]SLR + FZ calcs'!Q:Q)</f>
        <v>0</v>
      </c>
      <c r="F38" s="204">
        <f>SUMIF('[4]SLR + FZ calcs'!$D:$D,"Montalvin Manor CDP",'[4]SLR + FZ calcs'!R:R)</f>
        <v>0</v>
      </c>
      <c r="G38" s="204">
        <f>SUMIF('[4]SLR + FZ calcs'!$D:$D,"Montalvin Manor CDP",'[4]SLR + FZ calcs'!U:U)</f>
        <v>0</v>
      </c>
      <c r="H38" s="204">
        <f>SUMIF('[4]SLR + FZ calcs'!$D:$D,"Montalvin Manor CDP",'[4]SLR + FZ calcs'!V:V)</f>
        <v>0</v>
      </c>
      <c r="I38" s="204">
        <f>SUMIF('[4]SLR + FZ calcs'!$D:$D,"Montalvin Manor CDP",'[4]SLR + FZ calcs'!Y:Y)</f>
        <v>2.7468164875814396E-2</v>
      </c>
      <c r="J38" s="204">
        <f>SUMIF('[4]SLR + FZ calcs'!$D:$D,"Montalvin Manor CDP",'[4]SLR + FZ calcs'!Z:Z)</f>
        <v>4.4505381064610668E-2</v>
      </c>
      <c r="K38" s="204">
        <f>SUMIF('[4]SLR + FZ calcs'!$D:$D,"Montalvin Manor CDP",'[4]SLR + FZ calcs'!AC:AC)</f>
        <v>6.8350270905923036E-2</v>
      </c>
      <c r="L38" s="204">
        <f>SUMIF('[4]SLR + FZ calcs'!$D:$D,"Montalvin Manor CDP",'[4]SLR + FZ calcs'!AD:AD)</f>
        <v>0.11074474273364746</v>
      </c>
      <c r="M38" s="204">
        <f>SUMIF('[4]SLR + FZ calcs'!$D:$D,"Montalvin Manor CDP",'[4]SLR + FZ calcs'!AG:AG)</f>
        <v>0.16616721131013729</v>
      </c>
      <c r="N38" s="204">
        <f>SUMIF('[4]SLR + FZ calcs'!$D:$D,"Montalvin Manor CDP",'[4]SLR + FZ calcs'!AH:AH)</f>
        <v>0.26923294997085534</v>
      </c>
      <c r="O38" s="204">
        <f>SUMIF('[4]SLR + FZ calcs'!$D:$D,"Montalvin Manor CDP",'[4]SLR + FZ calcs'!AK:AK)</f>
        <v>0.27810098216875245</v>
      </c>
      <c r="P38" s="204">
        <f>SUMIF('[4]SLR + FZ calcs'!$D:$D,"Montalvin Manor CDP",'[4]SLR + FZ calcs'!AL:AL)</f>
        <v>0.45059399642532039</v>
      </c>
    </row>
    <row r="39" spans="1:16">
      <c r="A39" s="250" t="s">
        <v>103</v>
      </c>
      <c r="B39" s="210">
        <f>B13-O39</f>
        <v>1.8483200595753823E-3</v>
      </c>
      <c r="C39" s="210">
        <f>C13-P39</f>
        <v>3.3779642468101815E-3</v>
      </c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</row>
    <row r="40" spans="1:16">
      <c r="A40" s="250" t="s">
        <v>100</v>
      </c>
      <c r="B40" s="210">
        <f>B14-O40</f>
        <v>13.515487776688314</v>
      </c>
      <c r="C40" s="210">
        <f>C14-P40</f>
        <v>50.348124256273131</v>
      </c>
      <c r="E40" s="204">
        <f>SUMIF('[4]SLR + FZ calcs'!$D:$D,"North Richmond CDP",'[4]SLR + FZ calcs'!Q:Q)</f>
        <v>0</v>
      </c>
      <c r="F40" s="204">
        <f>SUMIF('[4]SLR + FZ calcs'!$D:$D,"North Richmond CDP",'[4]SLR + FZ calcs'!R:R)</f>
        <v>0</v>
      </c>
      <c r="G40" s="204">
        <f>SUMIF('[4]SLR + FZ calcs'!$D:$D,"North Richmond CDP",'[4]SLR + FZ calcs'!U:U)</f>
        <v>0.2036233575306898</v>
      </c>
      <c r="H40" s="204">
        <f>SUMIF('[4]SLR + FZ calcs'!$D:$D,"North Richmond CDP",'[4]SLR + FZ calcs'!V:V)</f>
        <v>0.53298417211781601</v>
      </c>
      <c r="I40" s="204">
        <f>SUMIF('[4]SLR + FZ calcs'!$D:$D,"North Richmond CDP",'[4]SLR + FZ calcs'!Y:Y)</f>
        <v>0.48001166944782042</v>
      </c>
      <c r="J40" s="204">
        <f>SUMIF('[4]SLR + FZ calcs'!$D:$D,"North Richmond CDP",'[4]SLR + FZ calcs'!Z:Z)</f>
        <v>1.2859267426353762</v>
      </c>
      <c r="K40" s="204">
        <f>SUMIF('[4]SLR + FZ calcs'!$D:$D,"North Richmond CDP",'[4]SLR + FZ calcs'!AC:AC)</f>
        <v>0.96726548604212892</v>
      </c>
      <c r="L40" s="204">
        <f>SUMIF('[4]SLR + FZ calcs'!$D:$D,"North Richmond CDP",'[4]SLR + FZ calcs'!AD:AD)</f>
        <v>2.5876215129025879</v>
      </c>
      <c r="M40" s="204">
        <f>SUMIF('[4]SLR + FZ calcs'!$D:$D,"North Richmond CDP",'[4]SLR + FZ calcs'!AG:AG)</f>
        <v>1.5760009989630503</v>
      </c>
      <c r="N40" s="204">
        <f>SUMIF('[4]SLR + FZ calcs'!$D:$D,"North Richmond CDP",'[4]SLR + FZ calcs'!AH:AH)</f>
        <v>4.2351738839892281</v>
      </c>
      <c r="O40" s="204">
        <f>SUMIF('[4]SLR + FZ calcs'!$D:$D,"North Richmond CDP",'[4]SLR + FZ calcs'!AK:AK)</f>
        <v>2.197744126079566</v>
      </c>
      <c r="P40" s="204">
        <f>SUMIF('[4]SLR + FZ calcs'!$D:$D,"North Richmond CDP",'[4]SLR + FZ calcs'!AL:AL)</f>
        <v>5.938704932526699</v>
      </c>
    </row>
    <row r="41" spans="1:16">
      <c r="A41" s="250" t="s">
        <v>97</v>
      </c>
      <c r="B41" s="210">
        <f>B15-O41</f>
        <v>12.637253257362962</v>
      </c>
      <c r="C41" s="210">
        <f>C15-P41</f>
        <v>31.241298857801894</v>
      </c>
      <c r="E41" s="204">
        <f>SUMIF('[4]SLR + FZ calcs'!$D:$D,"Pinole city",'[4]SLR + FZ calcs'!Q:Q)</f>
        <v>1.0562180321343901</v>
      </c>
      <c r="F41" s="204">
        <f>SUMIF('[4]SLR + FZ calcs'!$D:$D,"Pinole city",'[4]SLR + FZ calcs'!R:R)</f>
        <v>2.8763823650036189</v>
      </c>
      <c r="G41" s="204">
        <f>SUMIF('[4]SLR + FZ calcs'!$D:$D,"Pinole city",'[4]SLR + FZ calcs'!U:U)</f>
        <v>1.3553434423775028</v>
      </c>
      <c r="H41" s="204">
        <f>SUMIF('[4]SLR + FZ calcs'!$D:$D,"Pinole city",'[4]SLR + FZ calcs'!V:V)</f>
        <v>3.7059481680685664</v>
      </c>
      <c r="I41" s="204">
        <f>SUMIF('[4]SLR + FZ calcs'!$D:$D,"Pinole city",'[4]SLR + FZ calcs'!Y:Y)</f>
        <v>1.5485080686576189</v>
      </c>
      <c r="J41" s="204">
        <f>SUMIF('[4]SLR + FZ calcs'!$D:$D,"Pinole city",'[4]SLR + FZ calcs'!Z:Z)</f>
        <v>4.2254909939948337</v>
      </c>
      <c r="K41" s="204">
        <f>SUMIF('[4]SLR + FZ calcs'!$D:$D,"Pinole city",'[4]SLR + FZ calcs'!AC:AC)</f>
        <v>1.8610319846175805</v>
      </c>
      <c r="L41" s="204">
        <f>SUMIF('[4]SLR + FZ calcs'!$D:$D,"Pinole city",'[4]SLR + FZ calcs'!AD:AD)</f>
        <v>4.9732197397892186</v>
      </c>
      <c r="M41" s="204">
        <f>SUMIF('[4]SLR + FZ calcs'!$D:$D,"Pinole city",'[4]SLR + FZ calcs'!AG:AG)</f>
        <v>2.2493223441054955</v>
      </c>
      <c r="N41" s="204">
        <f>SUMIF('[4]SLR + FZ calcs'!$D:$D,"Pinole city",'[4]SLR + FZ calcs'!AH:AH)</f>
        <v>5.8751335458804554</v>
      </c>
      <c r="O41" s="204">
        <f>SUMIF('[4]SLR + FZ calcs'!$D:$D,"Pinole city",'[4]SLR + FZ calcs'!AK:AK)</f>
        <v>2.604539117351067</v>
      </c>
      <c r="P41" s="204">
        <f>SUMIF('[4]SLR + FZ calcs'!$D:$D,"Pinole city",'[4]SLR + FZ calcs'!AL:AL)</f>
        <v>6.7591760739606181</v>
      </c>
    </row>
    <row r="42" spans="1:16">
      <c r="A42" s="250" t="s">
        <v>94</v>
      </c>
      <c r="B42" s="210">
        <f>B16-O42</f>
        <v>16.429858925234075</v>
      </c>
      <c r="C42" s="210">
        <f>C16-P42</f>
        <v>20.617862180685901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</row>
    <row r="43" spans="1:16">
      <c r="A43" s="250" t="s">
        <v>91</v>
      </c>
      <c r="B43" s="210">
        <f>B17-O43</f>
        <v>43.850495497263999</v>
      </c>
      <c r="C43" s="210">
        <f>C17-P43</f>
        <v>75.830735602572446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</row>
    <row r="44" spans="1:16">
      <c r="A44" s="250" t="s">
        <v>108</v>
      </c>
      <c r="B44" s="210">
        <f>B18-O44</f>
        <v>59.118562588676575</v>
      </c>
      <c r="C44" s="210">
        <f>C18-P44</f>
        <v>144.18213656001285</v>
      </c>
      <c r="E44" s="204">
        <f>SUMIF('[4]SLR + FZ calcs'!$D:$D,"Richmond city",'[4]SLR + FZ calcs'!Q:Q)</f>
        <v>27.55459918157112</v>
      </c>
      <c r="F44" s="204">
        <f>SUMIF('[4]SLR + FZ calcs'!$D:$D,"Richmond city",'[4]SLR + FZ calcs'!R:R)</f>
        <v>50.770852886150536</v>
      </c>
      <c r="G44" s="204">
        <f>SUMIF('[4]SLR + FZ calcs'!$D:$D,"Richmond city",'[4]SLR + FZ calcs'!U:U)</f>
        <v>32.244826468630215</v>
      </c>
      <c r="H44" s="204">
        <f>SUMIF('[4]SLR + FZ calcs'!$D:$D,"Richmond city",'[4]SLR + FZ calcs'!V:V)</f>
        <v>59.296890343672182</v>
      </c>
      <c r="I44" s="204">
        <f>SUMIF('[4]SLR + FZ calcs'!$D:$D,"Richmond city",'[4]SLR + FZ calcs'!Y:Y)</f>
        <v>35.015807945123115</v>
      </c>
      <c r="J44" s="204">
        <f>SUMIF('[4]SLR + FZ calcs'!$D:$D,"Richmond city",'[4]SLR + FZ calcs'!Z:Z)</f>
        <v>64.363215331905309</v>
      </c>
      <c r="K44" s="204">
        <f>SUMIF('[4]SLR + FZ calcs'!$D:$D,"Richmond city",'[4]SLR + FZ calcs'!AC:AC)</f>
        <v>39.850758366855935</v>
      </c>
      <c r="L44" s="204">
        <f>SUMIF('[4]SLR + FZ calcs'!$D:$D,"Richmond city",'[4]SLR + FZ calcs'!AD:AD)</f>
        <v>73.048106707225969</v>
      </c>
      <c r="M44" s="204">
        <f>SUMIF('[4]SLR + FZ calcs'!$D:$D,"Richmond city",'[4]SLR + FZ calcs'!AG:AG)</f>
        <v>45.327627517587722</v>
      </c>
      <c r="N44" s="204">
        <f>SUMIF('[4]SLR + FZ calcs'!$D:$D,"Richmond city",'[4]SLR + FZ calcs'!AH:AH)</f>
        <v>82.987068424849923</v>
      </c>
      <c r="O44" s="204">
        <f>SUMIF('[4]SLR + FZ calcs'!$D:$D,"Richmond city",'[4]SLR + FZ calcs'!AK:AK)</f>
        <v>52.454112932487654</v>
      </c>
      <c r="P44" s="204">
        <f>SUMIF('[4]SLR + FZ calcs'!$D:$D,"Richmond city",'[4]SLR + FZ calcs'!AL:AL)</f>
        <v>95.944515682935162</v>
      </c>
    </row>
    <row r="45" spans="1:16">
      <c r="A45" s="250" t="s">
        <v>105</v>
      </c>
      <c r="B45" s="210">
        <f>B19-O45</f>
        <v>93.77748649855269</v>
      </c>
      <c r="C45" s="210">
        <f>C19-P45</f>
        <v>216.44960385396359</v>
      </c>
      <c r="E45" s="204">
        <f>SUMIF('[4]SLR + FZ calcs'!$D:$D,"Rodeo CDP",'[4]SLR + FZ calcs'!Q:Q)</f>
        <v>0</v>
      </c>
      <c r="F45" s="204">
        <f>SUMIF('[4]SLR + FZ calcs'!$D:$D,"Rodeo CDP",'[4]SLR + FZ calcs'!R:R)</f>
        <v>0</v>
      </c>
      <c r="G45" s="204">
        <f>SUMIF('[4]SLR + FZ calcs'!$D:$D,"Rodeo CDP",'[4]SLR + FZ calcs'!U:U)</f>
        <v>0</v>
      </c>
      <c r="H45" s="204">
        <f>SUMIF('[4]SLR + FZ calcs'!$D:$D,"Rodeo CDP",'[4]SLR + FZ calcs'!V:V)</f>
        <v>0</v>
      </c>
      <c r="I45" s="204">
        <f>SUMIF('[4]SLR + FZ calcs'!$D:$D,"Rodeo CDP",'[4]SLR + FZ calcs'!Y:Y)</f>
        <v>0</v>
      </c>
      <c r="J45" s="204">
        <f>SUMIF('[4]SLR + FZ calcs'!$D:$D,"Rodeo CDP",'[4]SLR + FZ calcs'!Z:Z)</f>
        <v>0</v>
      </c>
      <c r="K45" s="204">
        <f>SUMIF('[4]SLR + FZ calcs'!$D:$D,"Rodeo CDP",'[4]SLR + FZ calcs'!AC:AC)</f>
        <v>0</v>
      </c>
      <c r="L45" s="204">
        <f>SUMIF('[4]SLR + FZ calcs'!$D:$D,"Rodeo CDP",'[4]SLR + FZ calcs'!AD:AD)</f>
        <v>0</v>
      </c>
      <c r="M45" s="204">
        <f>SUMIF('[4]SLR + FZ calcs'!$D:$D,"Rodeo CDP",'[4]SLR + FZ calcs'!AG:AG)</f>
        <v>0</v>
      </c>
      <c r="N45" s="204">
        <f>SUMIF('[4]SLR + FZ calcs'!$D:$D,"Rodeo CDP",'[4]SLR + FZ calcs'!AH:AH)</f>
        <v>0</v>
      </c>
      <c r="O45" s="204">
        <f>SUMIF('[4]SLR + FZ calcs'!$D:$D,"Rodeo CDP",'[4]SLR + FZ calcs'!AK:AK)</f>
        <v>200.33572741051401</v>
      </c>
      <c r="P45" s="204">
        <f>SUMIF('[4]SLR + FZ calcs'!$D:$D,"Rodeo CDP",'[4]SLR + FZ calcs'!AL:AL)</f>
        <v>487.65580179413814</v>
      </c>
    </row>
    <row r="46" spans="1:16">
      <c r="A46" s="250" t="s">
        <v>102</v>
      </c>
      <c r="B46" s="210">
        <f>B20-O46</f>
        <v>1066.397544104128</v>
      </c>
      <c r="C46" s="210">
        <f>C20-P46</f>
        <v>3012.8657763793922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</row>
    <row r="47" spans="1:16">
      <c r="A47" s="250" t="s">
        <v>99</v>
      </c>
      <c r="B47" s="210">
        <f>B21-O47</f>
        <v>1.7348299518564958</v>
      </c>
      <c r="C47" s="210">
        <f>C21-P47</f>
        <v>5.2430416322774089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</row>
    <row r="48" spans="1:16">
      <c r="A48" s="250" t="s">
        <v>96</v>
      </c>
      <c r="B48" s="210">
        <f>B22-O48</f>
        <v>64.644369872552375</v>
      </c>
      <c r="C48" s="210">
        <f>C22-P48</f>
        <v>179.38171831123407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</row>
    <row r="49" spans="1:25">
      <c r="A49" s="250"/>
      <c r="C49" s="206"/>
    </row>
    <row r="50" spans="1:25" s="62" customFormat="1">
      <c r="A50" s="250" t="s">
        <v>129</v>
      </c>
      <c r="B50" s="206">
        <f>B24-O50</f>
        <v>3496.5132374227255</v>
      </c>
      <c r="C50" s="206">
        <f>C24-P50</f>
        <v>8045.1862534742286</v>
      </c>
      <c r="D50" s="243"/>
      <c r="E50" s="206">
        <f>SUM(E30:E48)</f>
        <v>45.241798633747322</v>
      </c>
      <c r="F50" s="206">
        <f>SUM(F30:F48)</f>
        <v>92.913943832530578</v>
      </c>
      <c r="G50" s="206">
        <f>SUM(G30:G48)</f>
        <v>56.649378325990767</v>
      </c>
      <c r="H50" s="206">
        <f>SUM(H30:H48)</f>
        <v>116.09162137703603</v>
      </c>
      <c r="I50" s="206">
        <f>SUM(I30:I48)</f>
        <v>63.447026475270881</v>
      </c>
      <c r="J50" s="206">
        <f>SUM(J30:J48)</f>
        <v>130.69901394076561</v>
      </c>
      <c r="K50" s="206">
        <f>SUM(K30:K48)</f>
        <v>73.9523837018493</v>
      </c>
      <c r="L50" s="206">
        <f>SUM(L30:L48)</f>
        <v>153.78595293371978</v>
      </c>
      <c r="M50" s="206">
        <f>SUM(M30:M48)</f>
        <v>85.697278833394847</v>
      </c>
      <c r="N50" s="206">
        <f>SUM(N30:N48)</f>
        <v>181.34600509643064</v>
      </c>
      <c r="O50" s="206">
        <f>SUM(O30:O48)</f>
        <v>298.77259509429558</v>
      </c>
      <c r="P50" s="206">
        <f>SUM(P30:P48)</f>
        <v>696.87566531269329</v>
      </c>
      <c r="X50" s="242"/>
      <c r="Y50" s="242"/>
    </row>
    <row r="53" spans="1:25">
      <c r="E53" s="206" t="s">
        <v>144</v>
      </c>
    </row>
    <row r="54" spans="1:25" s="246" customFormat="1" ht="43" customHeight="1" thickBot="1">
      <c r="A54" s="249" t="s">
        <v>112</v>
      </c>
      <c r="B54" s="247" t="s">
        <v>143</v>
      </c>
      <c r="C54" s="247" t="s">
        <v>142</v>
      </c>
      <c r="D54" s="248"/>
      <c r="E54" s="247" t="s">
        <v>141</v>
      </c>
      <c r="F54" s="247" t="s">
        <v>140</v>
      </c>
      <c r="G54" s="247" t="s">
        <v>139</v>
      </c>
      <c r="H54" s="247" t="s">
        <v>138</v>
      </c>
      <c r="I54" s="247" t="s">
        <v>137</v>
      </c>
      <c r="J54" s="247" t="s">
        <v>136</v>
      </c>
      <c r="K54" s="247" t="s">
        <v>135</v>
      </c>
      <c r="L54" s="247" t="s">
        <v>134</v>
      </c>
      <c r="M54" s="247" t="s">
        <v>133</v>
      </c>
      <c r="N54" s="247" t="s">
        <v>132</v>
      </c>
      <c r="O54" s="247" t="s">
        <v>131</v>
      </c>
      <c r="P54" s="247" t="s">
        <v>130</v>
      </c>
      <c r="X54" s="247"/>
      <c r="Y54" s="247"/>
    </row>
    <row r="55" spans="1:25" s="244" customFormat="1" ht="15" thickTop="1">
      <c r="A55" s="62" t="s">
        <v>114</v>
      </c>
      <c r="B55" s="239">
        <f>SUM('[4]LL6 calcs'!I2:I165)</f>
        <v>564.26796700287105</v>
      </c>
      <c r="C55" s="239">
        <f>SUM('[4]LL6 calcs'!J2:J165)</f>
        <v>1521.9823348970833</v>
      </c>
      <c r="D55" s="245"/>
      <c r="E55" s="239">
        <f>E3-E29</f>
        <v>24.131543988385246</v>
      </c>
      <c r="F55" s="239">
        <f>F3-F29</f>
        <v>50.090239375118301</v>
      </c>
      <c r="G55" s="239">
        <f>G3-G29</f>
        <v>31.944967937992587</v>
      </c>
      <c r="H55" s="239">
        <f>H3-H29</f>
        <v>67.584066838375563</v>
      </c>
      <c r="I55" s="239">
        <f>I3-I29</f>
        <v>45.236572230846889</v>
      </c>
      <c r="J55" s="239">
        <f>J3-J29</f>
        <v>98.185129362963693</v>
      </c>
      <c r="K55" s="239">
        <f>K3-K29</f>
        <v>88.599730443253932</v>
      </c>
      <c r="L55" s="239">
        <f>L3-L29</f>
        <v>212.69389302787968</v>
      </c>
      <c r="M55" s="239">
        <f>M3-M29</f>
        <v>212.56855652697195</v>
      </c>
      <c r="N55" s="239">
        <f>N3-N29</f>
        <v>543.94343166754686</v>
      </c>
      <c r="O55" s="239">
        <f>O3-O29</f>
        <v>442.57050104672123</v>
      </c>
      <c r="P55" s="239">
        <f>P3-P29</f>
        <v>1128.0647247145139</v>
      </c>
      <c r="X55" s="239"/>
      <c r="Y55" s="239"/>
    </row>
    <row r="56" spans="1:25">
      <c r="A56" s="62" t="s">
        <v>110</v>
      </c>
      <c r="B56" s="210">
        <f>SUMIF('[4]LL6 calcs'!$E2:$E165, "Bay Point CDP",'[4]LL6 calcs'!I2:I165)</f>
        <v>0</v>
      </c>
      <c r="C56" s="210">
        <f>SUMIF('[4]LL6 calcs'!$E2:$E165, "Bay Point CDP",'[4]LL6 calcs'!J2:J165)</f>
        <v>0</v>
      </c>
      <c r="E56" s="221">
        <f>E4-E30</f>
        <v>7.722655554461888E-3</v>
      </c>
      <c r="F56" s="221">
        <f>F4-F30</f>
        <v>7.722655554461888E-3</v>
      </c>
      <c r="G56" s="221">
        <f>G4-G30</f>
        <v>1.1625183675258888E-2</v>
      </c>
      <c r="H56" s="221">
        <f>H4-H30</f>
        <v>1.1625183675258888E-2</v>
      </c>
      <c r="I56" s="221">
        <f>I4-I30</f>
        <v>1.2704824319261787E-2</v>
      </c>
      <c r="J56" s="221">
        <f>J4-J30</f>
        <v>1.2704824319261787E-2</v>
      </c>
      <c r="K56" s="221">
        <f>K4-K30</f>
        <v>1.4117221088137066E-2</v>
      </c>
      <c r="L56" s="221">
        <f>L4-L30</f>
        <v>1.4117221088137066E-2</v>
      </c>
      <c r="M56" s="221">
        <f>M4-M30</f>
        <v>0.26918715792567738</v>
      </c>
      <c r="N56" s="221">
        <f>N4-N30</f>
        <v>0.76114585476482233</v>
      </c>
      <c r="O56" s="221">
        <f>O4-O30</f>
        <v>0.40258495981365872</v>
      </c>
      <c r="P56" s="221">
        <f>P4-P30</f>
        <v>1.100494441134984</v>
      </c>
    </row>
    <row r="57" spans="1:25">
      <c r="A57" s="62" t="s">
        <v>107</v>
      </c>
      <c r="B57" s="210">
        <v>0</v>
      </c>
      <c r="C57" s="210">
        <v>0</v>
      </c>
      <c r="E57" s="221">
        <f>E5-E31</f>
        <v>2.9234321977955187</v>
      </c>
      <c r="F57" s="221">
        <f>F5-F31</f>
        <v>7.6525133544839967</v>
      </c>
      <c r="G57" s="221">
        <f>G5-G31</f>
        <v>3.4484690476393123</v>
      </c>
      <c r="H57" s="221">
        <f>H5-H31</f>
        <v>9.0268745196344042</v>
      </c>
      <c r="I57" s="221">
        <f>I5-I31</f>
        <v>3.8938414339999499</v>
      </c>
      <c r="J57" s="221">
        <f>J5-J31</f>
        <v>10.192702236926387</v>
      </c>
      <c r="K57" s="221">
        <f>K5-K31</f>
        <v>4.5048639037480154</v>
      </c>
      <c r="L57" s="221">
        <f>L5-L31</f>
        <v>11.799733429722536</v>
      </c>
      <c r="M57" s="221">
        <f>M5-M31</f>
        <v>6.2057661219603322</v>
      </c>
      <c r="N57" s="221">
        <f>N5-N31</f>
        <v>16.290659664514067</v>
      </c>
      <c r="O57" s="221">
        <f>O5-O31</f>
        <v>7.7010529864789792</v>
      </c>
      <c r="P57" s="221">
        <f>P5-P31</f>
        <v>20.254878224674279</v>
      </c>
    </row>
    <row r="58" spans="1:25">
      <c r="A58" s="62" t="s">
        <v>104</v>
      </c>
      <c r="B58" s="210">
        <v>0</v>
      </c>
      <c r="C58" s="210">
        <v>0</v>
      </c>
      <c r="E58" s="221">
        <f>E6-E32</f>
        <v>0</v>
      </c>
      <c r="F58" s="221">
        <f>F6-F32</f>
        <v>0</v>
      </c>
      <c r="G58" s="221">
        <f>G6-G32</f>
        <v>0</v>
      </c>
      <c r="H58" s="221">
        <f>H6-H32</f>
        <v>0</v>
      </c>
      <c r="I58" s="221">
        <f>I6-I32</f>
        <v>0</v>
      </c>
      <c r="J58" s="221">
        <f>J6-J32</f>
        <v>0</v>
      </c>
      <c r="K58" s="221">
        <f>K6-K32</f>
        <v>0</v>
      </c>
      <c r="L58" s="221">
        <f>L6-L32</f>
        <v>0</v>
      </c>
      <c r="M58" s="221">
        <f>M6-M32</f>
        <v>0</v>
      </c>
      <c r="N58" s="221">
        <f>N6-N32</f>
        <v>0</v>
      </c>
      <c r="O58" s="221">
        <f>O6-O32</f>
        <v>0</v>
      </c>
      <c r="P58" s="221">
        <f>P6-P32</f>
        <v>0</v>
      </c>
    </row>
    <row r="59" spans="1:25">
      <c r="A59" s="62" t="s">
        <v>101</v>
      </c>
      <c r="B59" s="210">
        <v>0</v>
      </c>
      <c r="C59" s="210">
        <v>0</v>
      </c>
      <c r="E59" s="221">
        <f>E7-E33</f>
        <v>0</v>
      </c>
      <c r="F59" s="221">
        <f>F7-F33</f>
        <v>-2.7249244233251702E-7</v>
      </c>
      <c r="G59" s="221">
        <f>G7-G33</f>
        <v>0</v>
      </c>
      <c r="H59" s="221">
        <f>H7-H33</f>
        <v>-2.5990449653567893E-7</v>
      </c>
      <c r="I59" s="221">
        <f>I7-I33</f>
        <v>0</v>
      </c>
      <c r="J59" s="221">
        <f>J7-J33</f>
        <v>-1.1507721169312646E-6</v>
      </c>
      <c r="K59" s="221">
        <f>K7-K33</f>
        <v>0</v>
      </c>
      <c r="L59" s="221">
        <f>L7-L33</f>
        <v>-1.1507021623335945E-6</v>
      </c>
      <c r="M59" s="221">
        <f>M7-M33</f>
        <v>0</v>
      </c>
      <c r="N59" s="221">
        <f>N7-N33</f>
        <v>-1.3403972201064818E-6</v>
      </c>
      <c r="O59" s="221">
        <f>O7-O33</f>
        <v>0</v>
      </c>
      <c r="P59" s="221">
        <f>P7-P33</f>
        <v>-1.3404124035165665E-6</v>
      </c>
    </row>
    <row r="60" spans="1:25">
      <c r="A60" s="62" t="s">
        <v>98</v>
      </c>
      <c r="B60" s="210">
        <f>SUMIF('[4]LL6 calcs'!$E2:$E165, "Crockett CDP",'[4]LL6 calcs'!I2:I165)</f>
        <v>0</v>
      </c>
      <c r="C60" s="210">
        <f>SUMIF('[4]LL6 calcs'!$E2:$E165, "Crockett CDP",'[4]LL6 calcs'!J2:J165)</f>
        <v>0</v>
      </c>
      <c r="E60" s="221">
        <f>E8-E34</f>
        <v>3.4530222302584297E-2</v>
      </c>
      <c r="F60" s="221">
        <f>F8-F34</f>
        <v>8.6325555756460753E-2</v>
      </c>
      <c r="G60" s="221">
        <f>G8-G34</f>
        <v>6.1291779323056586E-2</v>
      </c>
      <c r="H60" s="221">
        <f>H8-H34</f>
        <v>0.15322944830764146</v>
      </c>
      <c r="I60" s="221">
        <f>I8-I34</f>
        <v>9.5953016959474807E-2</v>
      </c>
      <c r="J60" s="221">
        <f>J8-J34</f>
        <v>0.239882542398687</v>
      </c>
      <c r="K60" s="221">
        <f>K8-K34</f>
        <v>0.13476468061522548</v>
      </c>
      <c r="L60" s="221">
        <f>L8-L34</f>
        <v>0.33691170153806371</v>
      </c>
      <c r="M60" s="221">
        <f>M8-M34</f>
        <v>0.17928246310158841</v>
      </c>
      <c r="N60" s="221">
        <f>N8-N34</f>
        <v>0.44820615775397099</v>
      </c>
      <c r="O60" s="221">
        <f>O8-O34</f>
        <v>0.24710181427880207</v>
      </c>
      <c r="P60" s="221">
        <f>P8-P34</f>
        <v>0.61775453569700522</v>
      </c>
    </row>
    <row r="61" spans="1:25">
      <c r="A61" s="36" t="s">
        <v>95</v>
      </c>
      <c r="B61" s="210">
        <f>SUMIF('[4]LL6 calcs'!$E2:$E165, "El Cerrito city",'[4]LL6 calcs'!I2:I165)</f>
        <v>3.3011504223063244</v>
      </c>
      <c r="C61" s="210">
        <f>SUMIF('[4]LL6 calcs'!$E2:$E165, "El Cerrito city",'[4]LL6 calcs'!J2:J165)</f>
        <v>6.7222553539219261</v>
      </c>
      <c r="E61" s="221">
        <f>E9-E35</f>
        <v>0</v>
      </c>
      <c r="F61" s="221">
        <f>F9-F35</f>
        <v>0</v>
      </c>
      <c r="G61" s="221">
        <f>G9-G35</f>
        <v>0</v>
      </c>
      <c r="H61" s="221">
        <f>H9-H35</f>
        <v>0</v>
      </c>
      <c r="I61" s="221">
        <f>I9-I35</f>
        <v>0</v>
      </c>
      <c r="J61" s="221">
        <f>J9-J35</f>
        <v>0</v>
      </c>
      <c r="K61" s="221">
        <f>K9-K35</f>
        <v>0</v>
      </c>
      <c r="L61" s="221">
        <f>L9-L35</f>
        <v>0</v>
      </c>
      <c r="M61" s="221">
        <f>M9-M35</f>
        <v>0</v>
      </c>
      <c r="N61" s="221">
        <f>N9-N35</f>
        <v>0</v>
      </c>
      <c r="O61" s="221">
        <f>O9-O35</f>
        <v>0</v>
      </c>
      <c r="P61" s="221">
        <f>P9-P35</f>
        <v>0</v>
      </c>
    </row>
    <row r="62" spans="1:25">
      <c r="A62" s="62" t="s">
        <v>92</v>
      </c>
      <c r="B62" s="210">
        <f>SUMIF('[4]LL6 calcs'!$E2:$E165, "Hercules city",'[4]LL6 calcs'!I2:I165)</f>
        <v>7.9802018298185402</v>
      </c>
      <c r="C62" s="210">
        <f>SUMIF('[4]LL6 calcs'!$E2:$E165, "Hercules city",'[4]LL6 calcs'!J2:J165)</f>
        <v>26.227721636427717</v>
      </c>
      <c r="E62" s="221">
        <f>E10-E36</f>
        <v>2.2167395345758818</v>
      </c>
      <c r="F62" s="221">
        <f>F10-F36</f>
        <v>7.3121930332434655</v>
      </c>
      <c r="G62" s="221">
        <f>G10-G36</f>
        <v>2.8250571621055265</v>
      </c>
      <c r="H62" s="221">
        <f>H10-H36</f>
        <v>9.2689890167530926</v>
      </c>
      <c r="I62" s="221">
        <f>I10-I36</f>
        <v>3.5865131588609289</v>
      </c>
      <c r="J62" s="221">
        <f>J10-J36</f>
        <v>11.695185826929968</v>
      </c>
      <c r="K62" s="221">
        <f>K10-K36</f>
        <v>19.43040803289081</v>
      </c>
      <c r="L62" s="221">
        <f>L10-L36</f>
        <v>49.62638552065922</v>
      </c>
      <c r="M62" s="221">
        <f>M10-M36</f>
        <v>27.595454129609315</v>
      </c>
      <c r="N62" s="221">
        <f>N10-N36</f>
        <v>70.168243478883667</v>
      </c>
      <c r="O62" s="221">
        <f>O10-O36</f>
        <v>44.612752959124521</v>
      </c>
      <c r="P62" s="221">
        <f>P10-P36</f>
        <v>114.27321735468902</v>
      </c>
    </row>
    <row r="63" spans="1:25">
      <c r="A63" s="62" t="s">
        <v>109</v>
      </c>
      <c r="B63" s="210">
        <f>SUMIF('[4]LL6 calcs'!$E2:$E165, "Martinez city",'[4]LL6 calcs'!I2:I165)</f>
        <v>0</v>
      </c>
      <c r="C63" s="210">
        <f>SUMIF('[4]LL6 calcs'!$E2:$E165, "Martinez city",'[4]LL6 calcs'!J2:J165)</f>
        <v>0.68626086217007254</v>
      </c>
      <c r="E63" s="221">
        <f>E11-E37</f>
        <v>0.89850769905123151</v>
      </c>
      <c r="F63" s="221">
        <f>F11-F37</f>
        <v>1.893538771861742</v>
      </c>
      <c r="G63" s="221">
        <f>G11-G37</f>
        <v>1.6422980299509344</v>
      </c>
      <c r="H63" s="221">
        <f>H11-H37</f>
        <v>3.5749633676961494</v>
      </c>
      <c r="I63" s="221">
        <f>I11-I37</f>
        <v>3.9425436616713867</v>
      </c>
      <c r="J63" s="221">
        <f>J11-J37</f>
        <v>8.1238057196078302</v>
      </c>
      <c r="K63" s="221">
        <f>K11-K37</f>
        <v>5.7551011282261904</v>
      </c>
      <c r="L63" s="221">
        <f>L11-L37</f>
        <v>11.657981031020281</v>
      </c>
      <c r="M63" s="221">
        <f>M11-M37</f>
        <v>8.9607338493902571</v>
      </c>
      <c r="N63" s="221">
        <f>N11-N37</f>
        <v>20.169235842826062</v>
      </c>
      <c r="O63" s="221">
        <f>O11-O37</f>
        <v>16.429711661877519</v>
      </c>
      <c r="P63" s="221">
        <f>P11-P37</f>
        <v>35.227540418513712</v>
      </c>
    </row>
    <row r="64" spans="1:25">
      <c r="A64" s="62" t="s">
        <v>106</v>
      </c>
      <c r="B64" s="210">
        <f>SUMIF('[4]LL6 calcs'!$E2:$E165, "Montalvin Manor CDP",'[4]LL6 calcs'!I2:I165)</f>
        <v>0.54711685454312609</v>
      </c>
      <c r="C64" s="210">
        <f>SUMIF('[4]LL6 calcs'!$E2:$E165, "Montalvin Manor CDP",'[4]LL6 calcs'!J2:J165)</f>
        <v>2.1479402437619024</v>
      </c>
      <c r="E64" s="221">
        <f>E12-E38</f>
        <v>0</v>
      </c>
      <c r="F64" s="221">
        <f>F12-F38</f>
        <v>0</v>
      </c>
      <c r="G64" s="221">
        <f>G12-G38</f>
        <v>0</v>
      </c>
      <c r="H64" s="221">
        <f>H12-H38</f>
        <v>0</v>
      </c>
      <c r="I64" s="221">
        <f>I12-I38</f>
        <v>-1.0141064852448034E-8</v>
      </c>
      <c r="J64" s="221">
        <f>J12-J38</f>
        <v>-1.6431092417223958E-8</v>
      </c>
      <c r="K64" s="221">
        <f>K12-K38</f>
        <v>-2.0628950783696531E-8</v>
      </c>
      <c r="L64" s="221">
        <f>L12-L38</f>
        <v>-3.3424122788949795E-8</v>
      </c>
      <c r="M64" s="221">
        <f>M12-M38</f>
        <v>0.16331602126610956</v>
      </c>
      <c r="N64" s="221">
        <f>N12-N38</f>
        <v>0.26461330027926611</v>
      </c>
      <c r="O64" s="221">
        <f>O12-O38</f>
        <v>0.34778229985032927</v>
      </c>
      <c r="P64" s="221">
        <f>P12-P38</f>
        <v>0.56349537190939436</v>
      </c>
    </row>
    <row r="65" spans="1:25">
      <c r="A65" s="62" t="s">
        <v>103</v>
      </c>
      <c r="B65" s="210">
        <v>0</v>
      </c>
      <c r="C65" s="210">
        <v>0</v>
      </c>
      <c r="E65" s="221">
        <f>E13-E39</f>
        <v>0</v>
      </c>
      <c r="F65" s="221">
        <f>F13-F39</f>
        <v>0</v>
      </c>
      <c r="G65" s="221">
        <f>G13-G39</f>
        <v>0</v>
      </c>
      <c r="H65" s="221">
        <f>H13-H39</f>
        <v>0</v>
      </c>
      <c r="I65" s="221">
        <f>I13-I39</f>
        <v>0</v>
      </c>
      <c r="J65" s="221">
        <f>J13-J39</f>
        <v>0</v>
      </c>
      <c r="K65" s="221">
        <f>K13-K39</f>
        <v>0</v>
      </c>
      <c r="L65" s="221">
        <f>L13-L39</f>
        <v>0</v>
      </c>
      <c r="M65" s="221">
        <f>M13-M39</f>
        <v>0</v>
      </c>
      <c r="N65" s="221">
        <f>N13-N39</f>
        <v>0</v>
      </c>
      <c r="O65" s="221">
        <f>O13-O39</f>
        <v>0</v>
      </c>
      <c r="P65" s="221">
        <f>P13-P39</f>
        <v>0</v>
      </c>
    </row>
    <row r="66" spans="1:25">
      <c r="A66" s="62" t="s">
        <v>100</v>
      </c>
      <c r="B66" s="210">
        <f>SUMIF('[4]LL6 calcs'!$E2:$E165, "North Richmond CDP",'[4]LL6 calcs'!I2:I165)</f>
        <v>169.97741588091867</v>
      </c>
      <c r="C66" s="210">
        <f>SUMIF('[4]LL6 calcs'!$E2:$E165, "North Richmond CDP",'[4]LL6 calcs'!J2:J165)</f>
        <v>536.73378627169029</v>
      </c>
      <c r="E66" s="221">
        <f>E14-E40</f>
        <v>0</v>
      </c>
      <c r="F66" s="221">
        <f>F14-F40</f>
        <v>0</v>
      </c>
      <c r="G66" s="221">
        <f>G14-G40</f>
        <v>-1.428146183701795E-6</v>
      </c>
      <c r="H66" s="221">
        <f>H14-H40</f>
        <v>-3.7756205855110636E-6</v>
      </c>
      <c r="I66" s="221">
        <f>I14-I40</f>
        <v>2.1571124334277645</v>
      </c>
      <c r="J66" s="221">
        <f>J14-J40</f>
        <v>6.3316686253315524</v>
      </c>
      <c r="K66" s="221">
        <f>K14-K40</f>
        <v>7.94926496858041</v>
      </c>
      <c r="L66" s="221">
        <f>L14-L40</f>
        <v>23.271590849396002</v>
      </c>
      <c r="M66" s="221">
        <f>M14-M40</f>
        <v>37.287732244607007</v>
      </c>
      <c r="N66" s="221">
        <f>N14-N40</f>
        <v>109.19616647256657</v>
      </c>
      <c r="O66" s="221">
        <f>O14-O40</f>
        <v>54.761522509499663</v>
      </c>
      <c r="P66" s="221">
        <f>P14-P40</f>
        <v>160.05007832256229</v>
      </c>
    </row>
    <row r="67" spans="1:25">
      <c r="A67" s="62" t="s">
        <v>97</v>
      </c>
      <c r="B67" s="210">
        <f>SUMIF('[4]LL6 calcs'!$E2:$E165, "Pinole city",'[4]LL6 calcs'!I2:I165)</f>
        <v>1.8438513646049395</v>
      </c>
      <c r="C67" s="210">
        <f>SUMIF('[4]LL6 calcs'!$E2:$E165, "Pinole city",'[4]LL6 calcs'!J2:J165)</f>
        <v>5.0193731592023347</v>
      </c>
      <c r="E67" s="221">
        <f>E15-E41</f>
        <v>0.14857447097206156</v>
      </c>
      <c r="F67" s="221">
        <f>F15-F41</f>
        <v>0.35471303483453198</v>
      </c>
      <c r="G67" s="221">
        <f>G15-G41</f>
        <v>0.24478090340096781</v>
      </c>
      <c r="H67" s="221">
        <f>H15-H41</f>
        <v>0.58829546538462996</v>
      </c>
      <c r="I67" s="221">
        <f>I15-I41</f>
        <v>0.37044764070696301</v>
      </c>
      <c r="J67" s="221">
        <f>J15-J41</f>
        <v>0.9083603221560077</v>
      </c>
      <c r="K67" s="221">
        <f>K15-K41</f>
        <v>1.2546545905076436</v>
      </c>
      <c r="L67" s="221">
        <f>L15-L41</f>
        <v>3.2555436478046893</v>
      </c>
      <c r="M67" s="221">
        <f>M15-M41</f>
        <v>12.93655211196195</v>
      </c>
      <c r="N67" s="221">
        <f>N15-N41</f>
        <v>35.416600786512447</v>
      </c>
      <c r="O67" s="221">
        <f>O15-O41</f>
        <v>27.439417532971412</v>
      </c>
      <c r="P67" s="221">
        <f>P15-P41</f>
        <v>75.234039604433022</v>
      </c>
    </row>
    <row r="68" spans="1:25">
      <c r="A68" s="36" t="s">
        <v>94</v>
      </c>
      <c r="B68" s="210">
        <v>0</v>
      </c>
      <c r="C68" s="210">
        <v>0</v>
      </c>
      <c r="E68" s="221">
        <f>E16-E42</f>
        <v>0</v>
      </c>
      <c r="F68" s="221">
        <f>F16-F42</f>
        <v>0</v>
      </c>
      <c r="G68" s="221">
        <f>G16-G42</f>
        <v>0</v>
      </c>
      <c r="H68" s="221">
        <f>H16-H42</f>
        <v>0</v>
      </c>
      <c r="I68" s="221">
        <f>I16-I42</f>
        <v>0</v>
      </c>
      <c r="J68" s="221">
        <f>J16-J42</f>
        <v>0</v>
      </c>
      <c r="K68" s="221">
        <f>K16-K42</f>
        <v>0</v>
      </c>
      <c r="L68" s="221">
        <f>L16-L42</f>
        <v>0</v>
      </c>
      <c r="M68" s="221">
        <f>M16-M42</f>
        <v>0</v>
      </c>
      <c r="N68" s="221">
        <f>N16-N42</f>
        <v>0</v>
      </c>
      <c r="O68" s="221">
        <f>O16-O42</f>
        <v>0</v>
      </c>
      <c r="P68" s="221">
        <f>P16-P42</f>
        <v>0</v>
      </c>
    </row>
    <row r="69" spans="1:25">
      <c r="A69" s="36" t="s">
        <v>91</v>
      </c>
      <c r="B69" s="210">
        <v>0</v>
      </c>
      <c r="C69" s="210">
        <v>0</v>
      </c>
      <c r="E69" s="221">
        <f>E17-E43</f>
        <v>0</v>
      </c>
      <c r="F69" s="221">
        <f>F17-F43</f>
        <v>0</v>
      </c>
      <c r="G69" s="221">
        <f>G17-G43</f>
        <v>0</v>
      </c>
      <c r="H69" s="221">
        <f>H17-H43</f>
        <v>0</v>
      </c>
      <c r="I69" s="221">
        <f>I17-I43</f>
        <v>0</v>
      </c>
      <c r="J69" s="221">
        <f>J17-J43</f>
        <v>0</v>
      </c>
      <c r="K69" s="221">
        <f>K17-K43</f>
        <v>0</v>
      </c>
      <c r="L69" s="221">
        <f>L17-L43</f>
        <v>0</v>
      </c>
      <c r="M69" s="221">
        <f>M17-M43</f>
        <v>0</v>
      </c>
      <c r="N69" s="221">
        <f>N17-N43</f>
        <v>0</v>
      </c>
      <c r="O69" s="221">
        <f>O17-O43</f>
        <v>0</v>
      </c>
      <c r="P69" s="221">
        <f>P17-P43</f>
        <v>0</v>
      </c>
    </row>
    <row r="70" spans="1:25">
      <c r="A70" s="62" t="s">
        <v>108</v>
      </c>
      <c r="B70" s="210">
        <f>SUMIF('[4]LL6 calcs'!$E2:$E165, "Richmond city",'[4]LL6 calcs'!I2:I165)</f>
        <v>380.61823065067915</v>
      </c>
      <c r="C70" s="210">
        <f>SUMIF('[4]LL6 calcs'!$E2:$E165, "Richmond city",'[4]LL6 calcs'!J2:J165)</f>
        <v>944.30990403856561</v>
      </c>
      <c r="E70" s="221">
        <f>E18-E44</f>
        <v>16.703461786731722</v>
      </c>
      <c r="F70" s="221">
        <f>F18-F44</f>
        <v>28.946072245091401</v>
      </c>
      <c r="G70" s="221">
        <f>G18-G44</f>
        <v>21.248574316952777</v>
      </c>
      <c r="H70" s="221">
        <f>H18-H44</f>
        <v>37.094044763834994</v>
      </c>
      <c r="I70" s="221">
        <f>I18-I44</f>
        <v>27.218429670618725</v>
      </c>
      <c r="J70" s="221">
        <f>J18-J44</f>
        <v>47.894996052019948</v>
      </c>
      <c r="K70" s="221">
        <f>K18-K44</f>
        <v>42.888267106626863</v>
      </c>
      <c r="L70" s="221">
        <f>L18-L44</f>
        <v>91.049698002240092</v>
      </c>
      <c r="M70" s="221">
        <f>M18-M44</f>
        <v>109.30232186292292</v>
      </c>
      <c r="N70" s="221">
        <f>N18-N44</f>
        <v>259.85688264550708</v>
      </c>
      <c r="O70" s="221">
        <f>O18-O44</f>
        <v>270.3865946520433</v>
      </c>
      <c r="P70" s="221">
        <f>P18-P44</f>
        <v>661.20683716698773</v>
      </c>
    </row>
    <row r="71" spans="1:25">
      <c r="A71" s="62" t="s">
        <v>105</v>
      </c>
      <c r="B71" s="210">
        <f>SUMIF('[4]LL6 calcs'!$E2:$E165, "Rodeo CDP",'[4]LL6 calcs'!I2:I165)</f>
        <v>0</v>
      </c>
      <c r="C71" s="210">
        <f>SUMIF('[4]LL6 calcs'!$E2:$E165, "Rodeo CDP",'[4]LL6 calcs'!J2:J165)</f>
        <v>0.13509333134241278</v>
      </c>
      <c r="E71" s="221">
        <f>E19-E45</f>
        <v>0</v>
      </c>
      <c r="F71" s="221">
        <f>F19-F45</f>
        <v>2.0879517942355701E-2</v>
      </c>
      <c r="G71" s="221">
        <f>G19-G45</f>
        <v>0</v>
      </c>
      <c r="H71" s="221">
        <f>H19-H45</f>
        <v>8.1342789480426753E-2</v>
      </c>
      <c r="I71" s="221">
        <f>I19-I45</f>
        <v>0</v>
      </c>
      <c r="J71" s="221">
        <f>J19-J45</f>
        <v>0.29894678378940537</v>
      </c>
      <c r="K71" s="221">
        <f>K19-K45</f>
        <v>0</v>
      </c>
      <c r="L71" s="221">
        <f>L19-L45</f>
        <v>0.38928516861838375</v>
      </c>
      <c r="M71" s="221">
        <f>M19-M45</f>
        <v>0</v>
      </c>
      <c r="N71" s="221">
        <f>N19-N45</f>
        <v>0.52734231635123097</v>
      </c>
      <c r="O71" s="221">
        <f>O19-O45</f>
        <v>7.4555466974667013</v>
      </c>
      <c r="P71" s="221">
        <f>P19-P45</f>
        <v>18.252446168726806</v>
      </c>
    </row>
    <row r="72" spans="1:25">
      <c r="A72" s="62" t="s">
        <v>102</v>
      </c>
      <c r="B72" s="210">
        <v>0</v>
      </c>
      <c r="C72" s="210">
        <v>0</v>
      </c>
      <c r="E72" s="221">
        <f>E20-E46</f>
        <v>0</v>
      </c>
      <c r="F72" s="221">
        <f>F20-F46</f>
        <v>0</v>
      </c>
      <c r="G72" s="221">
        <f>G20-G46</f>
        <v>0</v>
      </c>
      <c r="H72" s="221">
        <f>H20-H46</f>
        <v>0</v>
      </c>
      <c r="I72" s="221">
        <f>I20-I46</f>
        <v>0</v>
      </c>
      <c r="J72" s="221">
        <f>J20-J46</f>
        <v>0</v>
      </c>
      <c r="K72" s="221">
        <f>K20-K46</f>
        <v>0</v>
      </c>
      <c r="L72" s="221">
        <f>L20-L46</f>
        <v>0</v>
      </c>
      <c r="M72" s="221">
        <f>M20-M46</f>
        <v>0</v>
      </c>
      <c r="N72" s="221">
        <f>N20-N46</f>
        <v>0</v>
      </c>
      <c r="O72" s="221">
        <f>O20-O46</f>
        <v>0</v>
      </c>
      <c r="P72" s="221">
        <f>P20-P46</f>
        <v>0</v>
      </c>
    </row>
    <row r="73" spans="1:25">
      <c r="A73" s="62" t="s">
        <v>99</v>
      </c>
      <c r="B73" s="210">
        <v>0</v>
      </c>
      <c r="C73" s="210">
        <v>0</v>
      </c>
      <c r="E73" s="221">
        <f>E21-E47</f>
        <v>0</v>
      </c>
      <c r="F73" s="221">
        <f>F21-F47</f>
        <v>0</v>
      </c>
      <c r="G73" s="221">
        <f>G21-G47</f>
        <v>0</v>
      </c>
      <c r="H73" s="221">
        <f>H21-H47</f>
        <v>0</v>
      </c>
      <c r="I73" s="221">
        <f>I21-I47</f>
        <v>0</v>
      </c>
      <c r="J73" s="221">
        <f>J21-J47</f>
        <v>0</v>
      </c>
      <c r="K73" s="221">
        <f>K21-K47</f>
        <v>0</v>
      </c>
      <c r="L73" s="221">
        <f>L21-L47</f>
        <v>0</v>
      </c>
      <c r="M73" s="221">
        <f>M21-M47</f>
        <v>0</v>
      </c>
      <c r="N73" s="221">
        <f>N21-N47</f>
        <v>0</v>
      </c>
      <c r="O73" s="221">
        <f>O21-O47</f>
        <v>0</v>
      </c>
      <c r="P73" s="221">
        <f>P21-P47</f>
        <v>0</v>
      </c>
    </row>
    <row r="74" spans="1:25">
      <c r="A74" s="62" t="s">
        <v>96</v>
      </c>
      <c r="B74" s="210">
        <f>SUMIF('[4]LL6 calcs'!$E2:$E165, "Vine Hill CDP",'[4]LL6 calcs'!I2:I165)</f>
        <v>0</v>
      </c>
      <c r="C74" s="210">
        <f>SUMIF('[4]LL6 calcs'!$E2:$E165, "Vine Hill CDP",'[4]LL6 calcs'!J2:J165)</f>
        <v>0</v>
      </c>
      <c r="E74" s="221">
        <f>E22-E48</f>
        <v>1.1504861863311167</v>
      </c>
      <c r="F74" s="221">
        <f>F22-F48</f>
        <v>3.5758354440021192</v>
      </c>
      <c r="G74" s="221">
        <f>G22-G48</f>
        <v>2.3942476044075631</v>
      </c>
      <c r="H74" s="221">
        <f>H22-H48</f>
        <v>7.4415803920775607</v>
      </c>
      <c r="I74" s="221">
        <f>I22-I48</f>
        <v>3.8629339583398878</v>
      </c>
      <c r="J74" s="221">
        <f>J22-J48</f>
        <v>12.006416357002355</v>
      </c>
      <c r="K74" s="221">
        <f>K22-K48</f>
        <v>6.368649009857414</v>
      </c>
      <c r="L74" s="221">
        <f>L22-L48</f>
        <v>19.794449625232502</v>
      </c>
      <c r="M74" s="221">
        <f>M22-M48</f>
        <v>9.2507738661505829</v>
      </c>
      <c r="N74" s="221">
        <f>N22-N48</f>
        <v>28.757154025572746</v>
      </c>
      <c r="O74" s="221">
        <f>O22-O48</f>
        <v>12.015790049572873</v>
      </c>
      <c r="P74" s="221">
        <f>P22-P48</f>
        <v>37.430731037678214</v>
      </c>
    </row>
    <row r="75" spans="1:25"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</row>
    <row r="76" spans="1:25" s="62" customFormat="1">
      <c r="A76" s="62" t="s">
        <v>129</v>
      </c>
      <c r="B76" s="206">
        <f>SUM(B56:B74)</f>
        <v>564.26796700287082</v>
      </c>
      <c r="C76" s="206">
        <f>SUM(C56:C74)</f>
        <v>1521.9823348970822</v>
      </c>
      <c r="D76" s="243"/>
      <c r="E76" s="239">
        <f>E24-E50</f>
        <v>24.083454753314584</v>
      </c>
      <c r="F76" s="239">
        <f>F24-F50</f>
        <v>49.849793340278069</v>
      </c>
      <c r="G76" s="239">
        <f>G24-G50</f>
        <v>31.876342599309211</v>
      </c>
      <c r="H76" s="239">
        <f>H24-H50</f>
        <v>67.240940911319086</v>
      </c>
      <c r="I76" s="239">
        <f>I24-I50</f>
        <v>45.14047978876328</v>
      </c>
      <c r="J76" s="239">
        <f>J24-J50</f>
        <v>97.704668123278225</v>
      </c>
      <c r="K76" s="239">
        <f>K24-K50</f>
        <v>88.300090621511742</v>
      </c>
      <c r="L76" s="239">
        <f>L24-L50</f>
        <v>211.19569501319364</v>
      </c>
      <c r="M76" s="239">
        <f>M24-M50</f>
        <v>212.15111982889576</v>
      </c>
      <c r="N76" s="239">
        <f>N24-N50</f>
        <v>541.85624920513453</v>
      </c>
      <c r="O76" s="239">
        <f>O24-O50</f>
        <v>441.7998581229777</v>
      </c>
      <c r="P76" s="239">
        <f>P24-P50</f>
        <v>1124.2115113065943</v>
      </c>
      <c r="X76" s="242"/>
      <c r="Y76" s="242"/>
    </row>
    <row r="78" spans="1:25" s="62" customFormat="1">
      <c r="B78" s="206"/>
      <c r="C78" s="206"/>
      <c r="D78" s="243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X78" s="242"/>
      <c r="Y78" s="242"/>
    </row>
    <row r="79" spans="1:25" s="207" customFormat="1" ht="28">
      <c r="A79" s="207" t="s">
        <v>128</v>
      </c>
      <c r="B79" s="241" t="s">
        <v>127</v>
      </c>
      <c r="C79" s="239" t="s">
        <v>111</v>
      </c>
      <c r="D79" s="240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X79" s="239"/>
      <c r="Y79" s="239"/>
    </row>
    <row r="80" spans="1:25" ht="46" customHeight="1">
      <c r="B80" s="206">
        <f>B29+O29+B55+O55</f>
        <v>4803.3303573514768</v>
      </c>
      <c r="C80" s="206">
        <f>C29+P29+C55+P55</f>
        <v>11402.944524699986</v>
      </c>
      <c r="K80" s="238"/>
    </row>
    <row r="81" spans="1:22" ht="18" customHeight="1">
      <c r="F81" s="237"/>
      <c r="G81" s="236" t="s">
        <v>126</v>
      </c>
      <c r="H81" s="235" t="s">
        <v>125</v>
      </c>
      <c r="I81" s="234"/>
      <c r="J81" s="234"/>
      <c r="K81" s="234"/>
      <c r="L81" s="234"/>
      <c r="M81" s="234"/>
      <c r="O81" s="237"/>
      <c r="P81" s="236" t="s">
        <v>124</v>
      </c>
      <c r="Q81" s="235" t="s">
        <v>123</v>
      </c>
      <c r="R81" s="234"/>
      <c r="S81" s="234"/>
      <c r="T81" s="234"/>
      <c r="U81" s="234"/>
      <c r="V81" s="234"/>
    </row>
    <row r="82" spans="1:22" s="10" customFormat="1" ht="18" customHeight="1">
      <c r="A82" s="207"/>
      <c r="B82" s="208"/>
      <c r="C82" s="232"/>
      <c r="D82" s="233"/>
      <c r="E82" s="232"/>
      <c r="F82" s="231" t="s">
        <v>112</v>
      </c>
      <c r="G82" s="230" t="s">
        <v>122</v>
      </c>
      <c r="H82" s="230" t="s">
        <v>120</v>
      </c>
      <c r="I82" s="230" t="s">
        <v>119</v>
      </c>
      <c r="J82" s="230" t="s">
        <v>118</v>
      </c>
      <c r="K82" s="230" t="s">
        <v>117</v>
      </c>
      <c r="L82" s="230" t="s">
        <v>116</v>
      </c>
      <c r="M82" s="229" t="s">
        <v>115</v>
      </c>
      <c r="O82" s="231" t="s">
        <v>112</v>
      </c>
      <c r="P82" s="230" t="s">
        <v>121</v>
      </c>
      <c r="Q82" s="230" t="s">
        <v>120</v>
      </c>
      <c r="R82" s="230" t="s">
        <v>119</v>
      </c>
      <c r="S82" s="230" t="s">
        <v>118</v>
      </c>
      <c r="T82" s="230" t="s">
        <v>117</v>
      </c>
      <c r="U82" s="230" t="s">
        <v>116</v>
      </c>
      <c r="V82" s="229" t="s">
        <v>115</v>
      </c>
    </row>
    <row r="83" spans="1:22" ht="18" customHeight="1">
      <c r="F83" s="215" t="s">
        <v>110</v>
      </c>
      <c r="G83" s="228">
        <v>281.20501008869229</v>
      </c>
      <c r="H83" s="228">
        <v>0.47701787816233882</v>
      </c>
      <c r="I83" s="228">
        <v>0.72314366649338857</v>
      </c>
      <c r="J83" s="228">
        <v>0.75563046997185002</v>
      </c>
      <c r="K83" s="228">
        <v>0.8094820810380442</v>
      </c>
      <c r="L83" s="228">
        <v>0.83305680129312043</v>
      </c>
      <c r="M83" s="228">
        <v>0.8419019053398894</v>
      </c>
      <c r="N83" s="2"/>
      <c r="O83" s="215" t="s">
        <v>110</v>
      </c>
      <c r="P83" s="228">
        <v>0</v>
      </c>
      <c r="Q83" s="228">
        <v>7.722655554461888E-3</v>
      </c>
      <c r="R83" s="228">
        <v>1.1625183675258888E-2</v>
      </c>
      <c r="S83" s="228">
        <v>1.2704824319261787E-2</v>
      </c>
      <c r="T83" s="228">
        <v>0.8094820810380442</v>
      </c>
      <c r="U83" s="228">
        <v>0.76114585476482233</v>
      </c>
      <c r="V83" s="228">
        <v>1.100494441134984</v>
      </c>
    </row>
    <row r="84" spans="1:22" ht="18" customHeight="1">
      <c r="F84" s="215" t="s">
        <v>107</v>
      </c>
      <c r="G84" s="228">
        <v>1.5499323467368669</v>
      </c>
      <c r="H84" s="228">
        <v>12.473769151738466</v>
      </c>
      <c r="I84" s="228">
        <v>16.172550790122592</v>
      </c>
      <c r="J84" s="228">
        <v>18.509645150865488</v>
      </c>
      <c r="K84" s="228">
        <v>26.496740591684045</v>
      </c>
      <c r="L84" s="228">
        <v>31.232426725515403</v>
      </c>
      <c r="M84" s="228">
        <v>32.900142352074994</v>
      </c>
      <c r="N84" s="2"/>
      <c r="O84" s="215" t="s">
        <v>107</v>
      </c>
      <c r="P84" s="228">
        <v>0</v>
      </c>
      <c r="Q84" s="228">
        <v>7.6525133544839967</v>
      </c>
      <c r="R84" s="228">
        <v>9.0268745196344042</v>
      </c>
      <c r="S84" s="228">
        <v>10.192702236926387</v>
      </c>
      <c r="T84" s="228">
        <v>26.496740591684045</v>
      </c>
      <c r="U84" s="228">
        <v>16.290659664514067</v>
      </c>
      <c r="V84" s="228">
        <v>20.254878224674279</v>
      </c>
    </row>
    <row r="85" spans="1:22" ht="18" customHeight="1">
      <c r="F85" s="215" t="s">
        <v>104</v>
      </c>
      <c r="G85" s="228">
        <v>3.9839256316207751E-2</v>
      </c>
      <c r="H85" s="228">
        <v>0</v>
      </c>
      <c r="I85" s="228">
        <v>0</v>
      </c>
      <c r="J85" s="228">
        <v>0</v>
      </c>
      <c r="K85" s="228">
        <v>0</v>
      </c>
      <c r="L85" s="228">
        <v>0</v>
      </c>
      <c r="M85" s="228">
        <v>0</v>
      </c>
      <c r="N85" s="2"/>
      <c r="O85" s="215" t="s">
        <v>104</v>
      </c>
      <c r="P85" s="228">
        <v>0</v>
      </c>
      <c r="Q85" s="228">
        <v>0</v>
      </c>
      <c r="R85" s="228">
        <v>0</v>
      </c>
      <c r="S85" s="228">
        <v>0</v>
      </c>
      <c r="T85" s="228">
        <v>0</v>
      </c>
      <c r="U85" s="228">
        <v>0</v>
      </c>
      <c r="V85" s="228">
        <v>0</v>
      </c>
    </row>
    <row r="86" spans="1:22" ht="18" customHeight="1">
      <c r="F86" s="215" t="s">
        <v>101</v>
      </c>
      <c r="G86" s="228">
        <v>17.168893811857952</v>
      </c>
      <c r="H86" s="228">
        <v>0.11947998272680251</v>
      </c>
      <c r="I86" s="228">
        <v>0.29260479452877086</v>
      </c>
      <c r="J86" s="228">
        <v>0.54090170506089608</v>
      </c>
      <c r="K86" s="228">
        <v>0.59197365676126956</v>
      </c>
      <c r="L86" s="228">
        <v>0.65237731746686833</v>
      </c>
      <c r="M86" s="228">
        <v>0.69197945213689394</v>
      </c>
      <c r="N86" s="2"/>
      <c r="O86" s="215" t="s">
        <v>101</v>
      </c>
      <c r="P86" s="228">
        <v>0</v>
      </c>
      <c r="Q86" s="228">
        <v>-2.7249244233251702E-7</v>
      </c>
      <c r="R86" s="228">
        <v>-2.5990449653567893E-7</v>
      </c>
      <c r="S86" s="228">
        <v>-1.1507721169312646E-6</v>
      </c>
      <c r="T86" s="228">
        <v>0.59197365676126956</v>
      </c>
      <c r="U86" s="228">
        <v>-1.3403972201064818E-6</v>
      </c>
      <c r="V86" s="228">
        <v>-1.3404124035165665E-6</v>
      </c>
    </row>
    <row r="87" spans="1:22" ht="18" customHeight="1">
      <c r="F87" s="215" t="s">
        <v>98</v>
      </c>
      <c r="G87" s="228">
        <v>42.825418841414802</v>
      </c>
      <c r="H87" s="228">
        <v>4.0094964952159425E-2</v>
      </c>
      <c r="I87" s="228">
        <v>5.398732612476996E-2</v>
      </c>
      <c r="J87" s="228">
        <v>6.2075678930765446E-2</v>
      </c>
      <c r="K87" s="228">
        <v>6.2799958656541824E-2</v>
      </c>
      <c r="L87" s="228">
        <v>6.6704313704129534E-2</v>
      </c>
      <c r="M87" s="228">
        <v>6.6704313704129534E-2</v>
      </c>
      <c r="N87" s="2"/>
      <c r="O87" s="215" t="s">
        <v>98</v>
      </c>
      <c r="P87" s="228">
        <v>0</v>
      </c>
      <c r="Q87" s="228">
        <v>8.6325555756460753E-2</v>
      </c>
      <c r="R87" s="228">
        <v>0.15322944830764146</v>
      </c>
      <c r="S87" s="228">
        <v>0.239882542398687</v>
      </c>
      <c r="T87" s="228">
        <v>6.2799958656541824E-2</v>
      </c>
      <c r="U87" s="228">
        <v>0.44820615775397099</v>
      </c>
      <c r="V87" s="228">
        <v>0.61775453569700522</v>
      </c>
    </row>
    <row r="88" spans="1:22" ht="18" customHeight="1">
      <c r="F88" s="215" t="s">
        <v>95</v>
      </c>
      <c r="G88" s="228">
        <v>937.62193554780356</v>
      </c>
      <c r="H88" s="228">
        <v>0</v>
      </c>
      <c r="I88" s="228">
        <v>0</v>
      </c>
      <c r="J88" s="228">
        <v>0</v>
      </c>
      <c r="K88" s="228">
        <v>0</v>
      </c>
      <c r="L88" s="228">
        <v>0</v>
      </c>
      <c r="M88" s="228">
        <v>0</v>
      </c>
      <c r="N88" s="2"/>
      <c r="O88" s="215" t="s">
        <v>95</v>
      </c>
      <c r="P88" s="228">
        <v>6.7222553539219261</v>
      </c>
      <c r="Q88" s="228">
        <v>0</v>
      </c>
      <c r="R88" s="228">
        <v>0</v>
      </c>
      <c r="S88" s="228">
        <v>0</v>
      </c>
      <c r="T88" s="228">
        <v>0</v>
      </c>
      <c r="U88" s="228">
        <v>0</v>
      </c>
      <c r="V88" s="228">
        <v>0</v>
      </c>
    </row>
    <row r="89" spans="1:22" ht="18" customHeight="1">
      <c r="F89" s="215" t="s">
        <v>92</v>
      </c>
      <c r="G89" s="228">
        <v>57.309502288004857</v>
      </c>
      <c r="H89" s="228">
        <v>8.1925928239826256</v>
      </c>
      <c r="I89" s="228">
        <v>9.8988559908777489</v>
      </c>
      <c r="J89" s="228">
        <v>12.132298853623467</v>
      </c>
      <c r="K89" s="228">
        <v>13.714666358790636</v>
      </c>
      <c r="L89" s="228">
        <v>21.439588012274793</v>
      </c>
      <c r="M89" s="228">
        <v>30.694753583015576</v>
      </c>
      <c r="N89" s="2"/>
      <c r="O89" s="215" t="s">
        <v>92</v>
      </c>
      <c r="P89" s="228">
        <v>26.227721636427717</v>
      </c>
      <c r="Q89" s="228">
        <v>7.3121930332434655</v>
      </c>
      <c r="R89" s="228">
        <v>9.2689890167530926</v>
      </c>
      <c r="S89" s="228">
        <v>11.695185826929968</v>
      </c>
      <c r="T89" s="228">
        <v>13.714666358790636</v>
      </c>
      <c r="U89" s="228">
        <v>70.168243478883667</v>
      </c>
      <c r="V89" s="228">
        <v>114.27321735468902</v>
      </c>
    </row>
    <row r="90" spans="1:22" ht="18" customHeight="1">
      <c r="F90" s="215" t="s">
        <v>109</v>
      </c>
      <c r="G90" s="228">
        <v>2957.0596893754609</v>
      </c>
      <c r="H90" s="228">
        <v>17.963753779814034</v>
      </c>
      <c r="I90" s="228">
        <v>25.414656125030213</v>
      </c>
      <c r="J90" s="228">
        <v>28.779323632713023</v>
      </c>
      <c r="K90" s="228">
        <v>31.390597584137847</v>
      </c>
      <c r="L90" s="228">
        <v>33.755243121485847</v>
      </c>
      <c r="M90" s="228">
        <v>34.931391226435849</v>
      </c>
      <c r="N90" s="2"/>
      <c r="O90" s="215" t="s">
        <v>109</v>
      </c>
      <c r="P90" s="228">
        <v>0.68626086217007254</v>
      </c>
      <c r="Q90" s="228">
        <v>1.893538771861742</v>
      </c>
      <c r="R90" s="228">
        <v>3.5749633676961494</v>
      </c>
      <c r="S90" s="228">
        <v>8.1238057196078302</v>
      </c>
      <c r="T90" s="228">
        <v>31.390597584137847</v>
      </c>
      <c r="U90" s="228">
        <v>20.169235842826062</v>
      </c>
      <c r="V90" s="228">
        <v>35.227540418513712</v>
      </c>
    </row>
    <row r="91" spans="1:22" ht="18" customHeight="1">
      <c r="F91" s="215" t="s">
        <v>106</v>
      </c>
      <c r="G91" s="228">
        <v>14.24235631948264</v>
      </c>
      <c r="H91" s="228">
        <v>0</v>
      </c>
      <c r="I91" s="228">
        <v>0</v>
      </c>
      <c r="J91" s="228">
        <v>4.4505381064610668E-2</v>
      </c>
      <c r="K91" s="228">
        <v>0.11074474273364746</v>
      </c>
      <c r="L91" s="228">
        <v>0.26923294997085534</v>
      </c>
      <c r="M91" s="228">
        <v>0.45059399642532039</v>
      </c>
      <c r="N91" s="2"/>
      <c r="O91" s="215" t="s">
        <v>106</v>
      </c>
      <c r="P91" s="228">
        <v>2.1479402437619024</v>
      </c>
      <c r="Q91" s="228">
        <v>0</v>
      </c>
      <c r="R91" s="228">
        <v>0</v>
      </c>
      <c r="S91" s="228">
        <v>-1.6431092417223958E-8</v>
      </c>
      <c r="T91" s="228">
        <v>0.11074474273364746</v>
      </c>
      <c r="U91" s="228">
        <v>0.26461330027926611</v>
      </c>
      <c r="V91" s="228">
        <v>0.56349537190939436</v>
      </c>
    </row>
    <row r="92" spans="1:22" ht="18" customHeight="1">
      <c r="F92" s="215" t="s">
        <v>103</v>
      </c>
      <c r="G92" s="228">
        <v>3.3779642468101815E-3</v>
      </c>
      <c r="H92" s="228">
        <v>0</v>
      </c>
      <c r="I92" s="228">
        <v>0</v>
      </c>
      <c r="J92" s="228">
        <v>0</v>
      </c>
      <c r="K92" s="228">
        <v>0</v>
      </c>
      <c r="L92" s="228">
        <v>0</v>
      </c>
      <c r="M92" s="228">
        <v>0</v>
      </c>
      <c r="N92" s="2"/>
      <c r="O92" s="215" t="s">
        <v>103</v>
      </c>
      <c r="P92" s="228">
        <v>0</v>
      </c>
      <c r="Q92" s="228">
        <v>0</v>
      </c>
      <c r="R92" s="228">
        <v>0</v>
      </c>
      <c r="S92" s="228">
        <v>0</v>
      </c>
      <c r="T92" s="228">
        <v>0</v>
      </c>
      <c r="U92" s="228">
        <v>0</v>
      </c>
      <c r="V92" s="228">
        <v>0</v>
      </c>
    </row>
    <row r="93" spans="1:22" ht="18" customHeight="1">
      <c r="F93" s="215" t="s">
        <v>100</v>
      </c>
      <c r="G93" s="228">
        <v>50.348124256273131</v>
      </c>
      <c r="H93" s="228">
        <v>0</v>
      </c>
      <c r="I93" s="228">
        <v>0.53298417211781601</v>
      </c>
      <c r="J93" s="228">
        <v>1.2859267426353762</v>
      </c>
      <c r="K93" s="228">
        <v>2.5876215129025879</v>
      </c>
      <c r="L93" s="228">
        <v>4.2351738839892281</v>
      </c>
      <c r="M93" s="228">
        <v>5.938704932526699</v>
      </c>
      <c r="N93" s="2"/>
      <c r="O93" s="215" t="s">
        <v>100</v>
      </c>
      <c r="P93" s="228">
        <v>536.73378627169029</v>
      </c>
      <c r="Q93" s="228">
        <v>0</v>
      </c>
      <c r="R93" s="228">
        <v>-3.7756205855110636E-6</v>
      </c>
      <c r="S93" s="228">
        <v>6.3316686253315524</v>
      </c>
      <c r="T93" s="228">
        <v>2.5876215129025879</v>
      </c>
      <c r="U93" s="228">
        <v>109.19616647256657</v>
      </c>
      <c r="V93" s="228">
        <v>160.05007832256229</v>
      </c>
    </row>
    <row r="94" spans="1:22" ht="18" customHeight="1">
      <c r="F94" s="215" t="s">
        <v>97</v>
      </c>
      <c r="G94" s="228">
        <v>31.241298857801894</v>
      </c>
      <c r="H94" s="228">
        <v>2.8763823650036189</v>
      </c>
      <c r="I94" s="228">
        <v>3.7059481680685664</v>
      </c>
      <c r="J94" s="228">
        <v>4.2254909939948337</v>
      </c>
      <c r="K94" s="228">
        <v>4.9732197397892186</v>
      </c>
      <c r="L94" s="228">
        <v>5.8751335458804554</v>
      </c>
      <c r="M94" s="228">
        <v>6.7591760739606181</v>
      </c>
      <c r="N94" s="2"/>
      <c r="O94" s="215" t="s">
        <v>97</v>
      </c>
      <c r="P94" s="228">
        <v>5.0193731592023347</v>
      </c>
      <c r="Q94" s="228">
        <v>0.35471303483453198</v>
      </c>
      <c r="R94" s="228">
        <v>0.58829546538462996</v>
      </c>
      <c r="S94" s="228">
        <v>0.9083603221560077</v>
      </c>
      <c r="T94" s="228">
        <v>4.9732197397892186</v>
      </c>
      <c r="U94" s="228">
        <v>35.416600786512447</v>
      </c>
      <c r="V94" s="228">
        <v>75.234039604433022</v>
      </c>
    </row>
    <row r="95" spans="1:22" ht="18" customHeight="1">
      <c r="F95" s="215" t="s">
        <v>94</v>
      </c>
      <c r="G95" s="228">
        <v>20.617862180685901</v>
      </c>
      <c r="H95" s="228">
        <v>0</v>
      </c>
      <c r="I95" s="228">
        <v>0</v>
      </c>
      <c r="J95" s="228">
        <v>0</v>
      </c>
      <c r="K95" s="228">
        <v>0</v>
      </c>
      <c r="L95" s="228">
        <v>0</v>
      </c>
      <c r="M95" s="228">
        <v>0</v>
      </c>
      <c r="N95" s="2"/>
      <c r="O95" s="215" t="s">
        <v>94</v>
      </c>
      <c r="P95" s="228">
        <v>0</v>
      </c>
      <c r="Q95" s="228">
        <v>0</v>
      </c>
      <c r="R95" s="228">
        <v>0</v>
      </c>
      <c r="S95" s="228">
        <v>0</v>
      </c>
      <c r="T95" s="228">
        <v>0</v>
      </c>
      <c r="U95" s="228">
        <v>0</v>
      </c>
      <c r="V95" s="228">
        <v>0</v>
      </c>
    </row>
    <row r="96" spans="1:22" ht="18" customHeight="1">
      <c r="F96" s="215" t="s">
        <v>91</v>
      </c>
      <c r="G96" s="228">
        <v>75.830735602572446</v>
      </c>
      <c r="H96" s="228">
        <v>0</v>
      </c>
      <c r="I96" s="228">
        <v>0</v>
      </c>
      <c r="J96" s="228">
        <v>0</v>
      </c>
      <c r="K96" s="228">
        <v>0</v>
      </c>
      <c r="L96" s="228">
        <v>0</v>
      </c>
      <c r="M96" s="228">
        <v>0</v>
      </c>
      <c r="N96" s="2"/>
      <c r="O96" s="215" t="s">
        <v>91</v>
      </c>
      <c r="P96" s="228">
        <v>0</v>
      </c>
      <c r="Q96" s="228">
        <v>0</v>
      </c>
      <c r="R96" s="228">
        <v>0</v>
      </c>
      <c r="S96" s="228">
        <v>0</v>
      </c>
      <c r="T96" s="228">
        <v>0</v>
      </c>
      <c r="U96" s="228">
        <v>0</v>
      </c>
      <c r="V96" s="228">
        <v>0</v>
      </c>
    </row>
    <row r="97" spans="6:29" ht="18" customHeight="1">
      <c r="F97" s="215" t="s">
        <v>108</v>
      </c>
      <c r="G97" s="228">
        <v>144.18213656001285</v>
      </c>
      <c r="H97" s="228">
        <v>50.770852886150536</v>
      </c>
      <c r="I97" s="228">
        <v>59.296890343672182</v>
      </c>
      <c r="J97" s="228">
        <v>64.363215331905309</v>
      </c>
      <c r="K97" s="228">
        <v>73.048106707225969</v>
      </c>
      <c r="L97" s="228">
        <v>82.987068424849923</v>
      </c>
      <c r="M97" s="228">
        <v>95.944515682935162</v>
      </c>
      <c r="N97" s="2"/>
      <c r="O97" s="215" t="s">
        <v>108</v>
      </c>
      <c r="P97" s="228">
        <v>944.30990403856561</v>
      </c>
      <c r="Q97" s="228">
        <v>28.946072245091401</v>
      </c>
      <c r="R97" s="228">
        <v>37.094044763834994</v>
      </c>
      <c r="S97" s="228">
        <v>47.894996052019948</v>
      </c>
      <c r="T97" s="228">
        <v>73.048106707225969</v>
      </c>
      <c r="U97" s="228">
        <v>259.85688264550708</v>
      </c>
      <c r="V97" s="228">
        <v>661.20683716698773</v>
      </c>
    </row>
    <row r="98" spans="6:29" ht="18" customHeight="1">
      <c r="F98" s="215" t="s">
        <v>105</v>
      </c>
      <c r="G98" s="228">
        <v>216.44960385396359</v>
      </c>
      <c r="H98" s="228">
        <v>0</v>
      </c>
      <c r="I98" s="228">
        <v>0</v>
      </c>
      <c r="J98" s="228">
        <v>0</v>
      </c>
      <c r="K98" s="228">
        <v>0</v>
      </c>
      <c r="L98" s="228">
        <v>0</v>
      </c>
      <c r="M98" s="228">
        <v>487.65580179413814</v>
      </c>
      <c r="N98" s="2"/>
      <c r="O98" s="215" t="s">
        <v>105</v>
      </c>
      <c r="P98" s="228">
        <v>0.13509333134241278</v>
      </c>
      <c r="Q98" s="228">
        <v>2.0879517942355701E-2</v>
      </c>
      <c r="R98" s="228">
        <v>8.1342789480426753E-2</v>
      </c>
      <c r="S98" s="228">
        <v>0.29894678378940537</v>
      </c>
      <c r="T98" s="228">
        <v>0</v>
      </c>
      <c r="U98" s="228">
        <v>0.52734231635123097</v>
      </c>
      <c r="V98" s="228">
        <v>18.252446168726806</v>
      </c>
    </row>
    <row r="99" spans="6:29" ht="18" customHeight="1">
      <c r="F99" s="215" t="s">
        <v>102</v>
      </c>
      <c r="G99" s="228">
        <v>3012.8657763793922</v>
      </c>
      <c r="H99" s="228">
        <v>0</v>
      </c>
      <c r="I99" s="228">
        <v>0</v>
      </c>
      <c r="J99" s="228">
        <v>0</v>
      </c>
      <c r="K99" s="228">
        <v>0</v>
      </c>
      <c r="L99" s="228">
        <v>0</v>
      </c>
      <c r="M99" s="228">
        <v>0</v>
      </c>
      <c r="N99" s="2"/>
      <c r="O99" s="215" t="s">
        <v>102</v>
      </c>
      <c r="P99" s="228">
        <v>0</v>
      </c>
      <c r="Q99" s="228">
        <v>0</v>
      </c>
      <c r="R99" s="228">
        <v>0</v>
      </c>
      <c r="S99" s="228">
        <v>0</v>
      </c>
      <c r="T99" s="228">
        <v>0</v>
      </c>
      <c r="U99" s="228">
        <v>0</v>
      </c>
      <c r="V99" s="228">
        <v>0</v>
      </c>
    </row>
    <row r="100" spans="6:29" ht="18" customHeight="1">
      <c r="F100" s="215" t="s">
        <v>99</v>
      </c>
      <c r="G100" s="228">
        <v>5.2430416322774089</v>
      </c>
      <c r="H100" s="228">
        <v>0</v>
      </c>
      <c r="I100" s="228">
        <v>0</v>
      </c>
      <c r="J100" s="228">
        <v>0</v>
      </c>
      <c r="K100" s="228">
        <v>0</v>
      </c>
      <c r="L100" s="228">
        <v>0</v>
      </c>
      <c r="M100" s="228">
        <v>0</v>
      </c>
      <c r="N100" s="2"/>
      <c r="O100" s="215" t="s">
        <v>99</v>
      </c>
      <c r="P100" s="228">
        <v>0</v>
      </c>
      <c r="Q100" s="228">
        <v>0</v>
      </c>
      <c r="R100" s="228">
        <v>0</v>
      </c>
      <c r="S100" s="228">
        <v>0</v>
      </c>
      <c r="T100" s="228">
        <v>0</v>
      </c>
      <c r="U100" s="228">
        <v>0</v>
      </c>
      <c r="V100" s="228">
        <v>0</v>
      </c>
    </row>
    <row r="101" spans="6:29" ht="18" customHeight="1">
      <c r="F101" s="215" t="s">
        <v>96</v>
      </c>
      <c r="G101" s="228">
        <v>179.38171831123407</v>
      </c>
      <c r="H101" s="228">
        <v>0</v>
      </c>
      <c r="I101" s="228">
        <v>0</v>
      </c>
      <c r="J101" s="228">
        <v>0</v>
      </c>
      <c r="K101" s="228">
        <v>0</v>
      </c>
      <c r="L101" s="228">
        <v>0</v>
      </c>
      <c r="M101" s="228">
        <v>0</v>
      </c>
      <c r="N101" s="2"/>
      <c r="O101" s="215" t="s">
        <v>96</v>
      </c>
      <c r="P101" s="228">
        <v>0</v>
      </c>
      <c r="Q101" s="228">
        <v>3.5758354440021192</v>
      </c>
      <c r="R101" s="228">
        <v>7.4415803920775607</v>
      </c>
      <c r="S101" s="228">
        <v>12.006416357002355</v>
      </c>
      <c r="T101" s="228">
        <v>0</v>
      </c>
      <c r="U101" s="228">
        <v>28.757154025572746</v>
      </c>
      <c r="V101" s="228">
        <v>37.430731037678214</v>
      </c>
    </row>
    <row r="102" spans="6:29">
      <c r="F102" s="227" t="s">
        <v>114</v>
      </c>
      <c r="G102" s="226">
        <v>8053.4816528570364</v>
      </c>
      <c r="H102" s="226">
        <v>93.883327704692789</v>
      </c>
      <c r="I102" s="226">
        <v>118.02953122798884</v>
      </c>
      <c r="J102" s="226">
        <v>132.95727470937976</v>
      </c>
      <c r="K102" s="226">
        <v>156.16698238965463</v>
      </c>
      <c r="L102" s="226">
        <v>183.81481789662845</v>
      </c>
      <c r="M102" s="226">
        <v>699.41581223135222</v>
      </c>
      <c r="N102" s="2"/>
      <c r="O102" s="227" t="s">
        <v>114</v>
      </c>
      <c r="P102" s="226">
        <v>1521.9823348970822</v>
      </c>
      <c r="Q102" s="226">
        <v>49.849793340278069</v>
      </c>
      <c r="R102" s="226">
        <v>67.584066838375563</v>
      </c>
      <c r="S102" s="226">
        <v>98.185129362963693</v>
      </c>
      <c r="T102" s="226">
        <v>212.69389302787968</v>
      </c>
      <c r="U102" s="226">
        <v>543.94343166754686</v>
      </c>
      <c r="V102" s="226">
        <v>1128.0647247145139</v>
      </c>
      <c r="X102" s="2"/>
      <c r="Y102" s="2"/>
    </row>
    <row r="103" spans="6:29">
      <c r="N103" s="2"/>
      <c r="O103" s="2"/>
      <c r="P103" s="203"/>
      <c r="Q103" s="203"/>
      <c r="X103" s="2"/>
      <c r="Y103" s="2"/>
    </row>
    <row r="104" spans="6:29"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6:29" ht="6" customHeight="1"/>
    <row r="106" spans="6:29" ht="29" customHeight="1"/>
    <row r="107" spans="6:29" ht="18" customHeight="1">
      <c r="X107" s="225" t="s">
        <v>112</v>
      </c>
      <c r="Y107" s="224" t="s">
        <v>111</v>
      </c>
      <c r="Z107" s="223" t="s">
        <v>113</v>
      </c>
      <c r="AA107" s="222" t="s">
        <v>111</v>
      </c>
      <c r="AB107" s="223" t="s">
        <v>112</v>
      </c>
      <c r="AC107" s="222" t="s">
        <v>111</v>
      </c>
    </row>
    <row r="108" spans="6:29" ht="18" customHeight="1">
      <c r="X108" s="216" t="s">
        <v>110</v>
      </c>
      <c r="Y108" s="215">
        <f>G83+M83+P83+V83</f>
        <v>283.14740643516717</v>
      </c>
      <c r="Z108" s="215" t="s">
        <v>109</v>
      </c>
      <c r="AA108" s="215">
        <f>G90+M90+P90+V90</f>
        <v>3027.9048818825809</v>
      </c>
      <c r="AB108" s="215" t="s">
        <v>108</v>
      </c>
      <c r="AC108" s="215">
        <f>G97+M97+P97+V97</f>
        <v>1845.6433934485015</v>
      </c>
    </row>
    <row r="109" spans="6:29" ht="18" customHeight="1">
      <c r="X109" s="216" t="s">
        <v>107</v>
      </c>
      <c r="Y109" s="215">
        <f>G84+M84+P84+V84</f>
        <v>54.70495292348614</v>
      </c>
      <c r="Z109" s="215" t="s">
        <v>106</v>
      </c>
      <c r="AA109" s="215">
        <f>G91+M91+P91+V91</f>
        <v>17.404385931579256</v>
      </c>
      <c r="AB109" s="215" t="s">
        <v>105</v>
      </c>
      <c r="AC109" s="215">
        <f>G98+M98+P98+V98</f>
        <v>722.49294514817097</v>
      </c>
    </row>
    <row r="110" spans="6:29" ht="18" customHeight="1">
      <c r="N110" s="221"/>
      <c r="O110" s="221"/>
      <c r="X110" s="216" t="s">
        <v>104</v>
      </c>
      <c r="Y110" s="215">
        <f>G85+M85+P85+V85</f>
        <v>3.9839256316207751E-2</v>
      </c>
      <c r="Z110" s="215" t="s">
        <v>103</v>
      </c>
      <c r="AA110" s="215">
        <f>G92+M92+P92+V92</f>
        <v>3.3779642468101815E-3</v>
      </c>
      <c r="AB110" s="215" t="s">
        <v>102</v>
      </c>
      <c r="AC110" s="215">
        <f>G99+M99+P99+V99</f>
        <v>3012.8657763793922</v>
      </c>
    </row>
    <row r="111" spans="6:29" ht="18" customHeight="1">
      <c r="X111" s="216" t="s">
        <v>101</v>
      </c>
      <c r="Y111" s="215">
        <f>G86+M86+P86+V86</f>
        <v>17.860871923582444</v>
      </c>
      <c r="Z111" s="215" t="s">
        <v>100</v>
      </c>
      <c r="AA111" s="215">
        <f>G93+M93+P93+V93</f>
        <v>753.07069378305243</v>
      </c>
      <c r="AB111" s="215" t="s">
        <v>99</v>
      </c>
      <c r="AC111" s="215">
        <f>G100+M100+P100+V100</f>
        <v>5.2430416322774089</v>
      </c>
    </row>
    <row r="112" spans="6:29" ht="18" customHeight="1">
      <c r="X112" s="216" t="s">
        <v>98</v>
      </c>
      <c r="Y112" s="215">
        <f>G87+M87+P87+V87</f>
        <v>43.509877690815934</v>
      </c>
      <c r="Z112" s="215" t="s">
        <v>97</v>
      </c>
      <c r="AA112" s="215">
        <f>G94+M94+P94+V94</f>
        <v>118.25388769539786</v>
      </c>
      <c r="AB112" s="220" t="s">
        <v>96</v>
      </c>
      <c r="AC112" s="215">
        <f>G101+M101+P101+V101</f>
        <v>216.81244934891228</v>
      </c>
    </row>
    <row r="113" spans="7:29" ht="18" customHeight="1">
      <c r="X113" s="216" t="s">
        <v>95</v>
      </c>
      <c r="Y113" s="215">
        <f>G88+M88+P88+V88</f>
        <v>944.34419090172548</v>
      </c>
      <c r="Z113" s="215" t="s">
        <v>94</v>
      </c>
      <c r="AA113" s="219">
        <f>G95+M95+P95+V95</f>
        <v>20.617862180685901</v>
      </c>
      <c r="AB113" s="218" t="s">
        <v>93</v>
      </c>
      <c r="AC113" s="217"/>
    </row>
    <row r="114" spans="7:29" ht="18" customHeight="1">
      <c r="N114" s="212"/>
      <c r="X114" s="216" t="s">
        <v>92</v>
      </c>
      <c r="Y114" s="215">
        <f>G89+M89+P89+V89</f>
        <v>228.50519486213716</v>
      </c>
      <c r="Z114" s="215" t="s">
        <v>91</v>
      </c>
      <c r="AA114" s="215">
        <f>G96+M96+P96+V96</f>
        <v>75.830735602572446</v>
      </c>
      <c r="AB114" s="214" t="s">
        <v>90</v>
      </c>
      <c r="AC114" s="213">
        <f>G102+M102+P102+V102</f>
        <v>11402.944524699984</v>
      </c>
    </row>
    <row r="115" spans="7:29" ht="18" customHeight="1">
      <c r="N115" s="212"/>
    </row>
    <row r="116" spans="7:29" ht="18" customHeight="1">
      <c r="N116" s="212"/>
    </row>
    <row r="117" spans="7:29" ht="18" customHeight="1">
      <c r="N117" s="212"/>
    </row>
    <row r="118" spans="7:29" ht="18" customHeight="1">
      <c r="P118" s="206"/>
      <c r="Q118" s="62"/>
    </row>
    <row r="119" spans="7:29" ht="18" customHeight="1">
      <c r="N119" s="212"/>
      <c r="P119" s="208"/>
      <c r="Q119" s="207"/>
    </row>
    <row r="120" spans="7:29" ht="18" customHeight="1"/>
    <row r="121" spans="7:29" ht="18" customHeight="1"/>
    <row r="122" spans="7:29" ht="18" customHeight="1"/>
    <row r="123" spans="7:29" ht="18" customHeight="1"/>
    <row r="124" spans="7:29" ht="18" customHeight="1"/>
    <row r="125" spans="7:29" ht="18" customHeight="1"/>
    <row r="126" spans="7:29" ht="18" customHeight="1"/>
    <row r="127" spans="7:29">
      <c r="G127" s="206"/>
      <c r="H127" s="210"/>
      <c r="I127" s="210"/>
      <c r="J127" s="210"/>
      <c r="K127" s="210"/>
      <c r="L127" s="211"/>
      <c r="M127" s="210"/>
    </row>
    <row r="128" spans="7:29">
      <c r="G128" s="208"/>
      <c r="H128" s="208"/>
      <c r="I128" s="208"/>
      <c r="J128" s="208"/>
      <c r="K128" s="208"/>
      <c r="L128" s="209"/>
      <c r="M128" s="208"/>
      <c r="N128" s="206"/>
      <c r="O128" s="206"/>
      <c r="R128" s="62"/>
      <c r="S128" s="62"/>
      <c r="T128" s="62"/>
    </row>
    <row r="129" spans="14:20">
      <c r="N129" s="208"/>
      <c r="R129" s="207"/>
      <c r="S129" s="207"/>
      <c r="T129" s="20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6"/>
  <sheetViews>
    <sheetView zoomScale="125" zoomScaleNormal="125" zoomScalePageLayoutView="125" workbookViewId="0">
      <pane xSplit="1" topLeftCell="B1" activePane="topRight" state="frozen"/>
      <selection pane="topRight" activeCell="A79" sqref="A79"/>
    </sheetView>
  </sheetViews>
  <sheetFormatPr baseColWidth="10" defaultRowHeight="14" x14ac:dyDescent="0"/>
  <cols>
    <col min="1" max="1" width="62.33203125" style="15" customWidth="1"/>
    <col min="2" max="2" width="10.83203125" style="4"/>
    <col min="3" max="3" width="10.83203125" style="139"/>
    <col min="4" max="4" width="10.83203125" style="4"/>
    <col min="5" max="5" width="10.83203125" style="139"/>
    <col min="6" max="6" width="10.83203125" style="60"/>
    <col min="7" max="7" width="10.83203125" style="2"/>
    <col min="8" max="8" width="10.83203125" style="4"/>
    <col min="9" max="9" width="11" style="2" bestFit="1" customWidth="1"/>
    <col min="10" max="10" width="10.83203125" style="4"/>
    <col min="11" max="11" width="10.83203125" style="2"/>
    <col min="12" max="12" width="10.83203125" style="4"/>
    <col min="13" max="13" width="10.83203125" style="2"/>
    <col min="14" max="14" width="10.83203125" style="4"/>
    <col min="15" max="15" width="13" style="140" bestFit="1" customWidth="1"/>
    <col min="16" max="16" width="10.83203125" style="4"/>
    <col min="17" max="17" width="10.83203125" style="2"/>
    <col min="18" max="16384" width="10.83203125" style="4"/>
  </cols>
  <sheetData>
    <row r="2" spans="1:20">
      <c r="A2" s="1" t="s">
        <v>70</v>
      </c>
    </row>
    <row r="3" spans="1:20" s="8" customFormat="1">
      <c r="A3" s="5" t="s">
        <v>71</v>
      </c>
      <c r="B3" s="61">
        <f>P50+R93+R136</f>
        <v>271</v>
      </c>
      <c r="C3" s="141"/>
      <c r="E3" s="141"/>
      <c r="F3" s="63"/>
      <c r="G3" s="62"/>
      <c r="I3" s="62"/>
      <c r="K3" s="62"/>
      <c r="M3" s="62"/>
      <c r="O3" s="142"/>
      <c r="Q3" s="62"/>
    </row>
    <row r="4" spans="1:20" s="8" customFormat="1">
      <c r="A4" s="5" t="s">
        <v>72</v>
      </c>
      <c r="B4" s="6">
        <f>Q50+S93+S136</f>
        <v>512.17292217954207</v>
      </c>
      <c r="C4" s="141"/>
      <c r="E4" s="141"/>
      <c r="F4" s="63"/>
      <c r="G4" s="62"/>
      <c r="I4" s="62"/>
      <c r="K4" s="62"/>
      <c r="M4" s="62"/>
      <c r="O4" s="142"/>
      <c r="Q4" s="62"/>
    </row>
    <row r="5" spans="1:20" s="12" customFormat="1">
      <c r="A5" s="9" t="s">
        <v>2</v>
      </c>
      <c r="C5" s="143"/>
      <c r="E5" s="143"/>
      <c r="F5" s="64"/>
      <c r="G5" s="10"/>
      <c r="I5" s="10"/>
      <c r="K5" s="10"/>
      <c r="M5" s="10"/>
      <c r="O5" s="144"/>
      <c r="Q5" s="10"/>
    </row>
    <row r="6" spans="1:20">
      <c r="A6" s="13" t="s">
        <v>73</v>
      </c>
    </row>
    <row r="7" spans="1:20">
      <c r="A7" s="14" t="s">
        <v>4</v>
      </c>
    </row>
    <row r="11" spans="1:20">
      <c r="A11" s="16" t="s">
        <v>6</v>
      </c>
      <c r="B11" s="65"/>
      <c r="C11" s="145"/>
      <c r="D11" s="65"/>
      <c r="E11" s="145"/>
      <c r="F11" s="66"/>
      <c r="G11" s="17"/>
      <c r="H11" s="65"/>
      <c r="I11" s="39"/>
      <c r="J11" s="18"/>
      <c r="K11" s="39"/>
      <c r="L11" s="18"/>
      <c r="M11" s="39"/>
      <c r="N11" s="18"/>
      <c r="O11" s="146"/>
      <c r="P11" s="65"/>
      <c r="Q11" s="17"/>
      <c r="S11" s="18"/>
      <c r="T11" s="18" t="s">
        <v>7</v>
      </c>
    </row>
    <row r="12" spans="1:20" s="21" customFormat="1">
      <c r="A12" s="14"/>
      <c r="B12" s="67" t="s">
        <v>42</v>
      </c>
      <c r="C12" s="147"/>
      <c r="D12" s="68" t="s">
        <v>43</v>
      </c>
      <c r="E12" s="148"/>
      <c r="F12" s="69" t="s">
        <v>44</v>
      </c>
      <c r="G12" s="20"/>
      <c r="H12" s="68" t="s">
        <v>45</v>
      </c>
      <c r="I12" s="20"/>
      <c r="J12" s="68" t="s">
        <v>46</v>
      </c>
      <c r="K12" s="20"/>
      <c r="L12" s="68" t="s">
        <v>47</v>
      </c>
      <c r="M12" s="20"/>
      <c r="N12" s="68" t="s">
        <v>48</v>
      </c>
      <c r="O12" s="149"/>
      <c r="P12" s="68" t="s">
        <v>49</v>
      </c>
      <c r="Q12" s="20"/>
      <c r="R12" s="18"/>
      <c r="S12" s="18"/>
      <c r="T12" s="18"/>
    </row>
    <row r="13" spans="1:20" s="21" customFormat="1">
      <c r="A13" s="22"/>
      <c r="B13" s="70" t="s">
        <v>50</v>
      </c>
      <c r="C13" s="147" t="s">
        <v>51</v>
      </c>
      <c r="D13" s="71" t="s">
        <v>50</v>
      </c>
      <c r="E13" s="150" t="s">
        <v>51</v>
      </c>
      <c r="F13" s="72" t="s">
        <v>50</v>
      </c>
      <c r="G13" s="24" t="s">
        <v>51</v>
      </c>
      <c r="H13" s="71" t="s">
        <v>50</v>
      </c>
      <c r="I13" s="24" t="s">
        <v>51</v>
      </c>
      <c r="J13" s="71" t="s">
        <v>50</v>
      </c>
      <c r="K13" s="24" t="s">
        <v>51</v>
      </c>
      <c r="L13" s="71" t="s">
        <v>50</v>
      </c>
      <c r="M13" s="24" t="s">
        <v>51</v>
      </c>
      <c r="N13" s="71" t="s">
        <v>50</v>
      </c>
      <c r="O13" s="151" t="s">
        <v>51</v>
      </c>
      <c r="P13" s="71" t="s">
        <v>50</v>
      </c>
      <c r="Q13" s="24" t="s">
        <v>51</v>
      </c>
      <c r="R13" s="18"/>
      <c r="S13" s="18"/>
      <c r="T13" s="18"/>
    </row>
    <row r="14" spans="1:20">
      <c r="A14" s="152" t="s">
        <v>74</v>
      </c>
      <c r="B14" s="74">
        <f>COUNTIFS('[3]Commercial_shrt fields'!AG:AG, "FZ no SLR", '[3]Commercial_shrt fields'!V:V, "Auto repair")</f>
        <v>18</v>
      </c>
      <c r="C14" s="147">
        <f>SUMIFS('[3]Commercial_shrt fields'!AF:AF,'[3]Commercial_shrt fields'!AG:AG, "FZ no SLR", '[3]Commercial_shrt fields'!V:V, "Auto repair")</f>
        <v>12.297877311484848</v>
      </c>
      <c r="D14" s="75">
        <f>COUNTIFS('[3]Commercial_shrt fields'!AG:AG, "FZ with SLR", '[3]Commercial_shrt fields'!V:V, "Auto repair", '[3]Commercial_shrt fields'!AC:AC, 0)</f>
        <v>0</v>
      </c>
      <c r="E14" s="148">
        <f>SUMIFS('[3]Commercial_shrt fields'!AF:AF,'[3]Commercial_shrt fields'!AG:AG, "FZ with SLR", '[3]Commercial_shrt fields'!V:V, "Auto repair", '[3]Commercial_shrt fields'!AC:AC,0)</f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5">
        <f>COUNTIFS('[3]Commercial_shrt fields'!AG:AG, "FZ with SLR", '[3]Commercial_shrt fields'!V:V, "Auto repair", '[3]Commercial_shrt fields'!AC:AC, 5)</f>
        <v>1</v>
      </c>
      <c r="O14" s="149">
        <f>SUMIFS('[3]Commercial_shrt fields'!AF:AF,'[3]Commercial_shrt fields'!AG:AG, "FZ with SLR", '[3]Commercial_shrt fields'!V:V, "Auto repair", '[3]Commercial_shrt fields'!AC:AC,5)</f>
        <v>0.1340066417027089</v>
      </c>
      <c r="P14" s="75">
        <f>COUNTIFS('[3]Commercial_shrt fields'!AG:AG, "FZ with SLR", '[3]Commercial_shrt fields'!V:V, "Auto repair", '[3]Commercial_shrt fields'!AC:AC, 6)</f>
        <v>4</v>
      </c>
      <c r="Q14" s="20">
        <f>SUMIFS('[3]Commercial_shrt fields'!AF:AF,'[3]Commercial_shrt fields'!AG:AG, "FZ with SLR", '[3]Commercial_shrt fields'!V:V, "Auto repair", '[3]Commercial_shrt fields'!AC:AC,6)</f>
        <v>1.0097847478046373</v>
      </c>
      <c r="R14" s="18"/>
      <c r="S14" s="18"/>
      <c r="T14" s="18"/>
    </row>
    <row r="15" spans="1:20">
      <c r="A15" s="152" t="s">
        <v>75</v>
      </c>
      <c r="B15" s="74">
        <f>COUNTIFS('[3]Commercial_shrt fields'!AG:AG, "FZ no SLR", '[3]Commercial_shrt fields'!V:V, "Boat Harbors")</f>
        <v>0</v>
      </c>
      <c r="C15" s="147">
        <f>SUMIFS('[3]Commercial_shrt fields'!AF:AF,'[3]Commercial_shrt fields'!AG:AG, "FZ no SLR", '[3]Commercial_shrt fields'!V:V, "Boat Harbor")</f>
        <v>0</v>
      </c>
      <c r="D15" s="75">
        <f>COUNTIFS('[3]Commercial_shrt fields'!AG:AG, "FZ with SLR", '[3]Commercial_shrt fields'!V:V, "Boat Harbors", '[3]Commercial_shrt fields'!AC:AC, 0)</f>
        <v>14</v>
      </c>
      <c r="E15" s="148">
        <f>SUMIFS('[3]Commercial_shrt fields'!AF:AF,'[3]Commercial_shrt fields'!AG:AG, "FZ with SLR", '[3]Commercial_shrt fields'!V:V, "Boat Harbors", '[3]Commercial_shrt fields'!AC:AC,0)</f>
        <v>160.58892586153118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5">
        <f>COUNTIFS('[3]Commercial_shrt fields'!AG:AG, "FZ with SLR", '[3]Commercial_shrt fields'!V:V, "Boat Harbors", '[3]Commercial_shrt fields'!AC:AC, 5)</f>
        <v>0</v>
      </c>
      <c r="O15" s="149">
        <f>SUMIFS('[3]Commercial_shrt fields'!AF:AF,'[3]Commercial_shrt fields'!AG:AG, "FZ with SLR", '[3]Commercial_shrt fields'!V:V, "Boat Harbors", '[3]Commercial_shrt fields'!AC:AC,5)</f>
        <v>0</v>
      </c>
      <c r="P15" s="75">
        <f>COUNTIFS('[3]Commercial_shrt fields'!AG:AG, "FZ with SLR", '[3]Commercial_shrt fields'!V:V, "Boat Harbors", '[3]Commercial_shrt fields'!AC:AC, 6)</f>
        <v>0</v>
      </c>
      <c r="Q15" s="20">
        <f>SUMIFS('[3]Commercial_shrt fields'!AF:AF,'[3]Commercial_shrt fields'!AG:AG, "FZ with SLR", '[3]Commercial_shrt fields'!V:V, "Boat Harbors", '[3]Commercial_shrt fields'!AC:AC,6)</f>
        <v>0</v>
      </c>
      <c r="R15" s="18"/>
      <c r="S15" s="18"/>
      <c r="T15" s="18"/>
    </row>
    <row r="16" spans="1:20">
      <c r="A16" s="152" t="s">
        <v>76</v>
      </c>
      <c r="B16" s="74">
        <f>COUNTIFS('[3]Commercial_shrt fields'!AG:AG, "FZ no SLR", '[3]Commercial_shrt fields'!V:V, "Commercial stores (not supermarkets)")</f>
        <v>67</v>
      </c>
      <c r="C16" s="147">
        <f>SUMIFS('[3]Commercial_shrt fields'!AF:AF,'[3]Commercial_shrt fields'!AG:AG, "FZ no SLR", '[3]Commercial_shrt fields'!V:V, "Commercial stores (not supermarkets)")</f>
        <v>14.567214862279952</v>
      </c>
      <c r="D16" s="75">
        <f>COUNTIFS('[3]Commercial_shrt fields'!AG:AG, "FZ with SLR", '[3]Commercial_shrt fields'!V:V, "Commercial stores (not supermarkets)", '[3]Commercial_shrt fields'!AC:AC, 0)</f>
        <v>0</v>
      </c>
      <c r="E16" s="148">
        <f>SUMIFS('[3]Commercial_shrt fields'!AF:AF,'[3]Commercial_shrt fields'!AG:AG, "FZ with SLR", '[3]Commercial_shrt fields'!V:V, "Commercial stores (not supermarkets)", '[3]Commercial_shrt fields'!AC:AC,0)</f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5">
        <f>COUNTIFS('[3]Commercial_shrt fields'!AG:AG, "FZ with SLR", '[3]Commercial_shrt fields'!V:V, "Commercial stores (not supermarkets)", '[3]Commercial_shrt fields'!AC:AC, 5)</f>
        <v>0</v>
      </c>
      <c r="O16" s="149">
        <f>SUMIFS('[3]Commercial_shrt fields'!AF:AF,'[3]Commercial_shrt fields'!AG:AG, "FZ with SLR", '[3]Commercial_shrt fields'!V:V, "Commercial stores (not supermarkets)", '[3]Commercial_shrt fields'!AC:AC,5)</f>
        <v>0</v>
      </c>
      <c r="P16" s="75">
        <f>COUNTIFS('[3]Commercial_shrt fields'!AG:AG, "FZ with SLR", '[3]Commercial_shrt fields'!V:V, "Commercial stores (not supermarkets)", '[3]Commercial_shrt fields'!AC:AC, 6)</f>
        <v>13</v>
      </c>
      <c r="Q16" s="20">
        <f>SUMIFS('[3]Commercial_shrt fields'!AF:AF,'[3]Commercial_shrt fields'!AG:AG, "FZ with SLR", '[3]Commercial_shrt fields'!V:V, "Commercial stores (not supermarkets)", '[3]Commercial_shrt fields'!AC:AC,6)</f>
        <v>2.2691814396411845</v>
      </c>
      <c r="R16" s="18"/>
      <c r="S16" s="18"/>
      <c r="T16" s="18"/>
    </row>
    <row r="17" spans="1:20">
      <c r="A17" s="152" t="s">
        <v>77</v>
      </c>
      <c r="B17" s="74">
        <f>COUNTIFS('[3]Commercial_shrt fields'!AG:AG, "FZ no SLR", '[3]Commercial_shrt fields'!V:V, "Community facilities; recreational; swim pool association")</f>
        <v>1</v>
      </c>
      <c r="C17" s="147">
        <f>SUMIFS('[3]Commercial_shrt fields'!AF:AF,'[3]Commercial_shrt fields'!AG:AG, "FZ no SLR", '[3]Commercial_shrt fields'!V:V, "Community facilities; recreational; swim pool association")</f>
        <v>3.0945575818181816</v>
      </c>
      <c r="D17" s="75">
        <f>COUNTIFS('[3]Commercial_shrt fields'!AG:AG, "FZ with SLR", '[3]Commercial_shrt fields'!V:V, "Community facilities; recreational; swim pool association", '[3]Commercial_shrt fields'!AC:AC, 0)</f>
        <v>2</v>
      </c>
      <c r="E17" s="148">
        <f>SUMIFS('[3]Commercial_shrt fields'!AF:AF,'[3]Commercial_shrt fields'!AG:AG, "FZ with SLR", '[3]Commercial_shrt fields'!V:V, "Community facilities; recreational; swim pool association", '[3]Commercial_shrt fields'!AC:AC,0)</f>
        <v>79.850007100413222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5">
        <f>COUNTIFS('[3]Commercial_shrt fields'!AG:AG, "FZ with SLR", '[3]Commercial_shrt fields'!V:V, "Community facilities; recreational; swim pool association", '[3]Commercial_shrt fields'!AC:AC, 5)</f>
        <v>1</v>
      </c>
      <c r="O17" s="149">
        <f>SUMIFS('[3]Commercial_shrt fields'!AF:AF,'[3]Commercial_shrt fields'!AG:AG, "FZ with SLR", '[3]Commercial_shrt fields'!V:V, "Community facilities; recreational; swim pool association", '[3]Commercial_shrt fields'!AC:AC,5)</f>
        <v>30.165267138429755</v>
      </c>
      <c r="P17" s="75">
        <f>COUNTIFS('[3]Commercial_shrt fields'!AG:AG, "FZ with SLR", '[3]Commercial_shrt fields'!V:V, "Community facilities; recreational; swim pool association", '[3]Commercial_shrt fields'!AC:AC, 6)</f>
        <v>0</v>
      </c>
      <c r="Q17" s="20">
        <f>SUMIFS('[3]Commercial_shrt fields'!AF:AF,'[3]Commercial_shrt fields'!AG:AG, "FZ with SLR", '[3]Commercial_shrt fields'!V:V, "Community facilities; recreational; swim pool association", '[3]Commercial_shrt fields'!AC:AC,6)</f>
        <v>0</v>
      </c>
      <c r="R17" s="18"/>
      <c r="S17" s="18"/>
      <c r="T17" s="18"/>
    </row>
    <row r="18" spans="1:20" s="8" customFormat="1">
      <c r="A18" s="152" t="s">
        <v>78</v>
      </c>
      <c r="B18" s="74">
        <f>COUNTIFS('[3]Commercial_shrt fields'!AG:AG, "FZ no SLR", '[3]Commercial_shrt fields'!V:V, "Drive-in restaurants (hamburger, taco, etc.)")</f>
        <v>0</v>
      </c>
      <c r="C18" s="147">
        <f>SUMIFS('[3]Commercial_shrt fields'!AF:AF,'[3]Commercial_shrt fields'!AG:AG, "FZ no SLR", '[3]Commercial_shrt fields'!V:V, "Drive-in restaurants (hamburger, taco, etc.)")</f>
        <v>0</v>
      </c>
      <c r="D18" s="75">
        <f>COUNTIFS('[3]Commercial_shrt fields'!AG:AG, "FZ with SLR", '[3]Commercial_shrt fields'!V:V, "Drive-in restaurants (hamburger, taco, etc.)", '[3]Commercial_shrt fields'!AC:AC, 0)</f>
        <v>0</v>
      </c>
      <c r="E18" s="148">
        <f>SUMIFS('[3]Commercial_shrt fields'!AF:AF,'[3]Commercial_shrt fields'!AG:AG, "FZ with SLR", '[3]Commercial_shrt fields'!V:V, "Drive-in restaurants (hamburger, taco, etc.)", '[3]Commercial_shrt fields'!AC:AC,0)</f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5">
        <f>COUNTIFS('[3]Commercial_shrt fields'!AG:AG, "FZ with SLR", '[3]Commercial_shrt fields'!V:V, "Drive-in restaurants (hamburger, taco, etc.)", '[3]Commercial_shrt fields'!AC:AC, 5)</f>
        <v>0</v>
      </c>
      <c r="O18" s="149">
        <f>SUMIFS('[3]Commercial_shrt fields'!AF:AF,'[3]Commercial_shrt fields'!AG:AG, "FZ with SLR", '[3]Commercial_shrt fields'!V:V, "Drive-in restaurants (hamburger, taco, etc.)", '[3]Commercial_shrt fields'!AC:AC,5)</f>
        <v>0</v>
      </c>
      <c r="P18" s="75">
        <f>COUNTIFS('[3]Commercial_shrt fields'!AG:AG, "FZ with SLR", '[3]Commercial_shrt fields'!V:V, "Drive-in restaurants (hamburger, taco, etc.)", '[3]Commercial_shrt fields'!AC:AC, 6)</f>
        <v>1</v>
      </c>
      <c r="Q18" s="20">
        <f>SUMIFS('[3]Commercial_shrt fields'!AF:AF,'[3]Commercial_shrt fields'!AG:AG, "FZ with SLR", '[3]Commercial_shrt fields'!V:V, "Drive-in restaurants (hamburger, taco, etc.)", '[3]Commercial_shrt fields'!AC:AC,6)</f>
        <v>0.16417652858011939</v>
      </c>
      <c r="R18" s="32"/>
      <c r="S18" s="32"/>
      <c r="T18" s="32"/>
    </row>
    <row r="19" spans="1:20" s="32" customFormat="1">
      <c r="A19" s="152" t="s">
        <v>79</v>
      </c>
      <c r="B19" s="74">
        <f>COUNTIFS('[3]Commercial_shrt fields'!AG:AG, "FZ no SLR", '[3]Commercial_shrt fields'!V:V, "Financial buildings (insurance and title companies, banks, savings and loans")</f>
        <v>4</v>
      </c>
      <c r="C19" s="147">
        <f>SUMIFS('[3]Commercial_shrt fields'!AF:AF,'[3]Commercial_shrt fields'!AG:AG, "FZ no SLR", '[3]Commercial_shrt fields'!V:V, "Financial buildings (insurance and title companies, banks, savings and loans")</f>
        <v>0.58318542026675857</v>
      </c>
      <c r="D19" s="75">
        <f>COUNTIFS('[3]Commercial_shrt fields'!AG:AG, "FZ with SLR", '[3]Commercial_shrt fields'!V:V, "Financial buildings (insurance and title companies, banks, savings and loans", '[3]Commercial_shrt fields'!AC:AC, 0)</f>
        <v>0</v>
      </c>
      <c r="E19" s="148">
        <f>SUMIFS('[3]Commercial_shrt fields'!AF:AF,'[3]Commercial_shrt fields'!AG:AG, "FZ with SLR", '[3]Commercial_shrt fields'!V:V, "Financial buildings (insurance and title companies, banks, savings and loans", '[3]Commercial_shrt fields'!AC:AC,0)</f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5">
        <f>COUNTIFS('[3]Commercial_shrt fields'!AG:AG, "FZ with SLR", '[3]Commercial_shrt fields'!V:V, "Financial buildings (insurance and title companies, banks, savings and loans", '[3]Commercial_shrt fields'!AC:AC, 5)</f>
        <v>0</v>
      </c>
      <c r="O19" s="149">
        <f>SUMIFS('[3]Commercial_shrt fields'!AF:AF,'[3]Commercial_shrt fields'!AG:AG, "FZ with SLR", '[3]Commercial_shrt fields'!V:V, "Financial buildings (insurance and title companies, banks, savings and loans", '[3]Commercial_shrt fields'!AC:AC,5)</f>
        <v>0</v>
      </c>
      <c r="P19" s="75">
        <f>COUNTIFS('[3]Commercial_shrt fields'!AG:AG, "FZ with SLR", '[3]Commercial_shrt fields'!V:V, "Financial buildings (insurance and title companies, banks, savings and loans", '[3]Commercial_shrt fields'!AC:AC, 6)</f>
        <v>0</v>
      </c>
      <c r="Q19" s="20">
        <f>SUMIFS('[3]Commercial_shrt fields'!AF:AF,'[3]Commercial_shrt fields'!AG:AG, "FZ with SLR", '[3]Commercial_shrt fields'!V:V, "Financial buildings (insurance and title companies, banks, savings and loans", '[3]Commercial_shrt fields'!AC:AC,6)</f>
        <v>0</v>
      </c>
    </row>
    <row r="20" spans="1:20" s="32" customFormat="1">
      <c r="A20" s="152" t="s">
        <v>80</v>
      </c>
      <c r="B20" s="74">
        <f>COUNTIFS('[3]Commercial_shrt fields'!AG:AG, "FZ no SLR", '[3]Commercial_shrt fields'!V:V, "Medical; dental")</f>
        <v>4</v>
      </c>
      <c r="C20" s="147">
        <f>SUMIFS('[3]Commercial_shrt fields'!AF:AF,'[3]Commercial_shrt fields'!AG:AG, "FZ no SLR", '[3]Commercial_shrt fields'!V:V, "Medical; dental")</f>
        <v>0.46003351915426993</v>
      </c>
      <c r="D20" s="75">
        <f>COUNTIFS('[3]Commercial_shrt fields'!AG:AG, "FZ with SLR", '[3]Commercial_shrt fields'!V:V, "Medical; dental", '[3]Commercial_shrt fields'!AC:AC, 0)</f>
        <v>0</v>
      </c>
      <c r="E20" s="148">
        <f>SUMIFS('[3]Commercial_shrt fields'!AF:AF,'[3]Commercial_shrt fields'!AG:AG, "FZ with SLR", '[3]Commercial_shrt fields'!V:V, "Medical; dental", '[3]Commercial_shrt fields'!AC:AC,0)</f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5">
        <f>COUNTIFS('[3]Commercial_shrt fields'!AG:AG, "FZ with SLR", '[3]Commercial_shrt fields'!V:V, "Medical; dental", '[3]Commercial_shrt fields'!AC:AC, 5)</f>
        <v>0</v>
      </c>
      <c r="O20" s="149">
        <f>SUMIFS('[3]Commercial_shrt fields'!AF:AF,'[3]Commercial_shrt fields'!AG:AG, "FZ with SLR", '[3]Commercial_shrt fields'!V:V, "Medical; dental", '[3]Commercial_shrt fields'!AC:AC,5)</f>
        <v>0</v>
      </c>
      <c r="P20" s="75">
        <f>COUNTIFS('[3]Commercial_shrt fields'!AG:AG, "FZ with SLR", '[3]Commercial_shrt fields'!V:V, "Medical; dental", '[3]Commercial_shrt fields'!AC:AC, 6)</f>
        <v>2</v>
      </c>
      <c r="Q20" s="20">
        <f>SUMIFS('[3]Commercial_shrt fields'!AF:AF,'[3]Commercial_shrt fields'!AG:AG, "FZ with SLR", '[3]Commercial_shrt fields'!V:V, "Medical; dental", '[3]Commercial_shrt fields'!AC:AC,6)</f>
        <v>0.18486626241643711</v>
      </c>
    </row>
    <row r="21" spans="1:20" s="32" customFormat="1">
      <c r="A21" s="152" t="s">
        <v>81</v>
      </c>
      <c r="B21" s="74">
        <f>COUNTIFS('[3]Commercial_shrt fields'!AG:AG, "FZ no SLR", '[3]Commercial_shrt fields'!V:V, "Motels, hotels, and mobile home parks")</f>
        <v>4</v>
      </c>
      <c r="C21" s="147">
        <f>SUMIFS('[3]Commercial_shrt fields'!AF:AF,'[3]Commercial_shrt fields'!AG:AG, "FZ no SLR", '[3]Commercial_shrt fields'!V:V, "Motels, hotels, and mobile home parks")</f>
        <v>0.7279322829623508</v>
      </c>
      <c r="D21" s="75">
        <f>COUNTIFS('[3]Commercial_shrt fields'!AG:AG, "FZ with SLR", '[3]Commercial_shrt fields'!V:V, "Motels, hotels, and mobile home parks", '[3]Commercial_shrt fields'!AC:AC, 0)</f>
        <v>0</v>
      </c>
      <c r="E21" s="148">
        <f>SUMIFS('[3]Commercial_shrt fields'!AF:AF,'[3]Commercial_shrt fields'!AG:AG, "FZ with SLR", '[3]Commercial_shrt fields'!V:V, "Motels, hotels, and mobile home parks", '[3]Commercial_shrt fields'!AC:AC,0)</f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5">
        <f>COUNTIFS('[3]Commercial_shrt fields'!AG:AG, "FZ with SLR", '[3]Commercial_shrt fields'!V:V, "Motels, hotels, and mobile home parks", '[3]Commercial_shrt fields'!AC:AC, 5)</f>
        <v>1</v>
      </c>
      <c r="O21" s="149">
        <f>SUMIFS('[3]Commercial_shrt fields'!AF:AF,'[3]Commercial_shrt fields'!AG:AG, "FZ with SLR", '[3]Commercial_shrt fields'!V:V, "Motels, hotels, and mobile home parks", '[3]Commercial_shrt fields'!AC:AC,5)</f>
        <v>27.360959749999999</v>
      </c>
      <c r="P21" s="75">
        <f>COUNTIFS('[3]Commercial_shrt fields'!AG:AG, "FZ with SLR", '[3]Commercial_shrt fields'!V:V, "Motels, hotels, and mobile home parks", '[3]Commercial_shrt fields'!AC:AC, 6)</f>
        <v>2</v>
      </c>
      <c r="Q21" s="20">
        <f>SUMIFS('[3]Commercial_shrt fields'!AF:AF,'[3]Commercial_shrt fields'!AG:AG, "FZ with SLR", '[3]Commercial_shrt fields'!V:V, "Motels, hotels, and mobile home parks", '[3]Commercial_shrt fields'!AC:AC,6)</f>
        <v>1.3570010308815428</v>
      </c>
    </row>
    <row r="22" spans="1:20" s="32" customFormat="1">
      <c r="A22" s="152" t="s">
        <v>82</v>
      </c>
      <c r="B22" s="74">
        <f>COUNTIFS('[3]Commercial_shrt fields'!AG:AG, "FZ no SLR", '[3]Commercial_shrt fields'!V:V, "Multiple and commercial; miscellaneously improved")</f>
        <v>7</v>
      </c>
      <c r="C22" s="147">
        <f>SUMIFS('[3]Commercial_shrt fields'!AF:AF,'[3]Commercial_shrt fields'!AG:AG, "FZ no SLR", '[3]Commercial_shrt fields'!V:V, "Multiple and commercial; miscellaneously improved")</f>
        <v>17.046396232566803</v>
      </c>
      <c r="D22" s="75">
        <f>COUNTIFS('[3]Commercial_shrt fields'!AG:AG, "FZ with SLR", '[3]Commercial_shrt fields'!V:V, "Multiple and commercial; miscellaneously improved", '[3]Commercial_shrt fields'!AC:AC, 0)</f>
        <v>0</v>
      </c>
      <c r="E22" s="148">
        <f>SUMIFS('[3]Commercial_shrt fields'!AF:AF,'[3]Commercial_shrt fields'!AG:AG, "FZ with SLR", '[3]Commercial_shrt fields'!V:V, "Multiple and commercial; miscellaneously improved", '[3]Commercial_shrt fields'!AC:AC,0)</f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5">
        <f>COUNTIFS('[3]Commercial_shrt fields'!AG:AG, "FZ with SLR", '[3]Commercial_shrt fields'!V:V, "Multiple and commercial; miscellaneously improved", '[3]Commercial_shrt fields'!AC:AC, 5)</f>
        <v>0</v>
      </c>
      <c r="O22" s="149">
        <f>SUMIFS('[3]Commercial_shrt fields'!AF:AF,'[3]Commercial_shrt fields'!AG:AG, "FZ with SLR", '[3]Commercial_shrt fields'!V:V, "Multiple and commercial; miscellaneously improved", '[3]Commercial_shrt fields'!AC:AC,5)</f>
        <v>0</v>
      </c>
      <c r="P22" s="75">
        <f>COUNTIFS('[3]Commercial_shrt fields'!AG:AG, "FZ with SLR", '[3]Commercial_shrt fields'!V:V, "Multiple and commercial; miscellaneously improved", '[3]Commercial_shrt fields'!AC:AC, 6)</f>
        <v>1</v>
      </c>
      <c r="Q22" s="20">
        <f>SUMIFS('[3]Commercial_shrt fields'!AF:AF,'[3]Commercial_shrt fields'!AG:AG, "FZ with SLR", '[3]Commercial_shrt fields'!V:V, "Multiple and commercial; miscellaneously improved", '[3]Commercial_shrt fields'!AC:AC,6)</f>
        <v>0.71750425261707984</v>
      </c>
    </row>
    <row r="23" spans="1:20" s="32" customFormat="1">
      <c r="A23" s="152" t="s">
        <v>83</v>
      </c>
      <c r="B23" s="74">
        <f>COUNTIFS('[3]Commercial_shrt fields'!AG:AG, "FZ no SLR", '[3]Commercial_shrt fields'!V:V, "New car auto agencies")</f>
        <v>1</v>
      </c>
      <c r="C23" s="147">
        <f>SUMIFS('[3]Commercial_shrt fields'!AF:AF,'[3]Commercial_shrt fields'!AG:AG, "FZ no SLR", '[3]Commercial_shrt fields'!V:V, "New car auto agencies")</f>
        <v>0.16073829907506887</v>
      </c>
      <c r="D23" s="75">
        <f>COUNTIFS('[3]Commercial_shrt fields'!AG:AG, "FZ with SLR", '[3]Commercial_shrt fields'!V:V, "New car auto agencies", '[3]Commercial_shrt fields'!AC:AC, 0)</f>
        <v>0</v>
      </c>
      <c r="E23" s="148">
        <f>SUMIFS('[3]Commercial_shrt fields'!AF:AF,'[3]Commercial_shrt fields'!AG:AG, "FZ with SLR", '[3]Commercial_shrt fields'!V:V, "New car auto agencies", '[3]Commercial_shrt fields'!AC:AC,0)</f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5">
        <f>COUNTIFS('[3]Commercial_shrt fields'!AG:AG, "FZ with SLR", '[3]Commercial_shrt fields'!V:V, "New car auto agencies", '[3]Commercial_shrt fields'!AC:AC, 5)</f>
        <v>0</v>
      </c>
      <c r="O23" s="149">
        <f>SUMIFS('[3]Commercial_shrt fields'!AF:AF,'[3]Commercial_shrt fields'!AG:AG, "FZ with SLR", '[3]Commercial_shrt fields'!V:V, "New car auto agencies", '[3]Commercial_shrt fields'!AC:AC,5)</f>
        <v>0</v>
      </c>
      <c r="P23" s="75">
        <f>COUNTIFS('[3]Commercial_shrt fields'!AG:AG, "FZ with SLR", '[3]Commercial_shrt fields'!V:V, "New car auto agencies", '[3]Commercial_shrt fields'!AC:AC, 6)</f>
        <v>0</v>
      </c>
      <c r="Q23" s="20">
        <f>SUMIFS('[3]Commercial_shrt fields'!AF:AF,'[3]Commercial_shrt fields'!AG:AG, "FZ with SLR", '[3]Commercial_shrt fields'!V:V, "New car auto agencies", '[3]Commercial_shrt fields'!AC:AC,6)</f>
        <v>0</v>
      </c>
    </row>
    <row r="24" spans="1:20" s="32" customFormat="1">
      <c r="A24" s="152" t="s">
        <v>84</v>
      </c>
      <c r="B24" s="74">
        <f>COUNTIFS('[3]Commercial_shrt fields'!AG:AG, "FZ no SLR", '[3]Commercial_shrt fields'!V:V, "Office buildings")</f>
        <v>31</v>
      </c>
      <c r="C24" s="147">
        <f>SUMIFS('[3]Commercial_shrt fields'!AF:AF,'[3]Commercial_shrt fields'!AG:AG, "FZ no SLR", '[3]Commercial_shrt fields'!V:V, "Office buildings")</f>
        <v>9.1192321462798471</v>
      </c>
      <c r="D24" s="75">
        <f>COUNTIFS('[3]Commercial_shrt fields'!AG:AG, "FZ with SLR", '[3]Commercial_shrt fields'!V:V, "Office buildings", '[3]Commercial_shrt fields'!AC:AC, 0)</f>
        <v>3</v>
      </c>
      <c r="E24" s="148">
        <f>SUMIFS('[3]Commercial_shrt fields'!AF:AF,'[3]Commercial_shrt fields'!AG:AG, "FZ with SLR", '[3]Commercial_shrt fields'!V:V, "Office buildings", '[3]Commercial_shrt fields'!AC:AC,0)</f>
        <v>42.335038672933884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5">
        <f>COUNTIFS('[3]Commercial_shrt fields'!AG:AG, "FZ with SLR", '[3]Commercial_shrt fields'!V:V, "Office buildings", '[3]Commercial_shrt fields'!AC:AC, 5)</f>
        <v>0</v>
      </c>
      <c r="O24" s="149">
        <f>SUMIFS('[3]Commercial_shrt fields'!AF:AF,'[3]Commercial_shrt fields'!AG:AG, "FZ with SLR", '[3]Commercial_shrt fields'!V:V, "Office buildings", '[3]Commercial_shrt fields'!AC:AC,5)</f>
        <v>0</v>
      </c>
      <c r="P24" s="75">
        <f>COUNTIFS('[3]Commercial_shrt fields'!AG:AG, "FZ with SLR", '[3]Commercial_shrt fields'!V:V, "Office buildings", '[3]Commercial_shrt fields'!AC:AC, 6)</f>
        <v>3</v>
      </c>
      <c r="Q24" s="20">
        <f>SUMIFS('[3]Commercial_shrt fields'!AF:AF,'[3]Commercial_shrt fields'!AG:AG, "FZ with SLR", '[3]Commercial_shrt fields'!V:V, "Office buildings", '[3]Commercial_shrt fields'!AC:AC,6)</f>
        <v>0.34352895489370983</v>
      </c>
    </row>
    <row r="25" spans="1:20" s="32" customFormat="1">
      <c r="A25" s="152" t="s">
        <v>85</v>
      </c>
      <c r="B25" s="74">
        <f>COUNTIFS('[3]Commercial_shrt fields'!AG:AG, "FZ no SLR", '[3]Commercial_shrt fields'!V:V, "Restaurants (not drive-in; inside service only)")</f>
        <v>6</v>
      </c>
      <c r="C25" s="147">
        <f>SUMIFS('[3]Commercial_shrt fields'!AF:AF,'[3]Commercial_shrt fields'!AG:AG, "FZ no SLR", '[3]Commercial_shrt fields'!V:V, "Restaurants (not drive-in; inside service only)")</f>
        <v>0.93396755155991751</v>
      </c>
      <c r="D25" s="75">
        <f>COUNTIFS('[3]Commercial_shrt fields'!AG:AG, "FZ with SLR", '[3]Commercial_shrt fields'!V:V, "Restaurants (not drive-in; inside service only)", '[3]Commercial_shrt fields'!AC:AC, 0)</f>
        <v>0</v>
      </c>
      <c r="E25" s="148">
        <f>SUMIFS('[3]Commercial_shrt fields'!AF:AF,'[3]Commercial_shrt fields'!AG:AG, "FZ with SLR", '[3]Commercial_shrt fields'!V:V, "Restaurants (not drive-in; inside service only)", '[3]Commercial_shrt fields'!AC:AC,0)</f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5">
        <f>COUNTIFS('[3]Commercial_shrt fields'!AG:AG, "FZ with SLR", '[3]Commercial_shrt fields'!V:V, "Restaurants (not drive-in; inside service only)", '[3]Commercial_shrt fields'!AC:AC, 5)</f>
        <v>0</v>
      </c>
      <c r="O25" s="149">
        <f>SUMIFS('[3]Commercial_shrt fields'!AF:AF,'[3]Commercial_shrt fields'!AG:AG, "FZ with SLR", '[3]Commercial_shrt fields'!V:V, "Restaurants (not drive-in; inside service only)", '[3]Commercial_shrt fields'!AC:AC,5)</f>
        <v>0</v>
      </c>
      <c r="P25" s="75">
        <f>COUNTIFS('[3]Commercial_shrt fields'!AG:AG, "FZ with SLR", '[3]Commercial_shrt fields'!V:V, "Restaurants (not drive-in; inside service only)", '[3]Commercial_shrt fields'!AC:AC, 6)</f>
        <v>0</v>
      </c>
      <c r="Q25" s="20">
        <f>SUMIFS('[3]Commercial_shrt fields'!AF:AF,'[3]Commercial_shrt fields'!AG:AG, "FZ with SLR", '[3]Commercial_shrt fields'!V:V, "Restaurants (not drive-in; inside service only)", '[3]Commercial_shrt fields'!AC:AC,6)</f>
        <v>0</v>
      </c>
    </row>
    <row r="26" spans="1:20" s="32" customFormat="1">
      <c r="A26" s="152" t="s">
        <v>86</v>
      </c>
      <c r="B26" s="74">
        <f>COUNTIFS('[3]Commercial_shrt fields'!AG:AG, "FZ no SLR", '[3]Commercial_shrt fields'!V:V, "Service stations; car washes; bulk plants; mini lube")</f>
        <v>5</v>
      </c>
      <c r="C26" s="147">
        <f>SUMIFS('[3]Commercial_shrt fields'!AF:AF,'[3]Commercial_shrt fields'!AG:AG, "FZ no SLR", '[3]Commercial_shrt fields'!V:V, "Service stations; car washes; bulk plants; mini lube")</f>
        <v>1.3192213915452249</v>
      </c>
      <c r="D26" s="75">
        <f>COUNTIFS('[3]Commercial_shrt fields'!AG:AG, "FZ with SLR", '[3]Commercial_shrt fields'!V:V, "Service stations; car washes; bulk plants; mini lube", '[3]Commercial_shrt fields'!AC:AC, 0)</f>
        <v>0</v>
      </c>
      <c r="E26" s="148">
        <f>SUMIFS('[3]Commercial_shrt fields'!AF:AF,'[3]Commercial_shrt fields'!AG:AG, "FZ with SLR", '[3]Commercial_shrt fields'!V:V, "Service stations; car washes; bulk plants; mini lube", '[3]Commercial_shrt fields'!AC:AC,0)</f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5">
        <f>COUNTIFS('[3]Commercial_shrt fields'!AG:AG, "FZ with SLR", '[3]Commercial_shrt fields'!V:V, "Service stations; car washes; bulk plants; mini lube", '[3]Commercial_shrt fields'!AC:AC, 5)</f>
        <v>0</v>
      </c>
      <c r="O26" s="149">
        <f>SUMIFS('[3]Commercial_shrt fields'!AF:AF,'[3]Commercial_shrt fields'!AG:AG, "FZ with SLR", '[3]Commercial_shrt fields'!V:V, "Service stations; car washes; bulk plants; mini lube", '[3]Commercial_shrt fields'!AC:AC,5)</f>
        <v>0</v>
      </c>
      <c r="P26" s="75">
        <f>COUNTIFS('[3]Commercial_shrt fields'!AG:AG, "FZ with SLR", '[3]Commercial_shrt fields'!V:V, "Service stations; car washes; bulk plants; mini lube", '[3]Commercial_shrt fields'!AC:AC, 6)</f>
        <v>0</v>
      </c>
      <c r="Q26" s="20">
        <f>SUMIFS('[3]Commercial_shrt fields'!AF:AF,'[3]Commercial_shrt fields'!AG:AG, "FZ with SLR", '[3]Commercial_shrt fields'!V:V, "Service stations; car washes; bulk plants; mini lube", '[3]Commercial_shrt fields'!AC:AC,6)</f>
        <v>0</v>
      </c>
    </row>
    <row r="27" spans="1:20" s="32" customFormat="1">
      <c r="A27" s="152" t="s">
        <v>87</v>
      </c>
      <c r="B27" s="74">
        <f>COUNTIFS('[3]Commercial_shrt fields'!AG:AG, "FZ no SLR", '[3]Commercial_shrt fields'!V:V, "Shopping centers (all parcels include vacant for future shopping center)")</f>
        <v>1</v>
      </c>
      <c r="C27" s="147">
        <f>SUMIFS('[3]Commercial_shrt fields'!AF:AF,'[3]Commercial_shrt fields'!AG:AG, "FZ no SLR", '[3]Commercial_shrt fields'!V:V, "Shopping centers (all parcels include vacant for future shopping center)")</f>
        <v>0.75539360442837467</v>
      </c>
      <c r="D27" s="75">
        <f>COUNTIFS('[3]Commercial_shrt fields'!AG:AG, "FZ with SLR", '[3]Commercial_shrt fields'!V:V, "Shopping centers (all parcels include vacant for future shopping center)", '[3]Commercial_shrt fields'!AC:AC, 0)</f>
        <v>0</v>
      </c>
      <c r="E27" s="148">
        <f>SUMIFS('[3]Commercial_shrt fields'!AF:AF,'[3]Commercial_shrt fields'!AG:AG, "FZ with SLR", '[3]Commercial_shrt fields'!V:V, "Shopping centers (all parcels include vacant for future shopping center)", '[3]Commercial_shrt fields'!AC:AC,0)</f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5">
        <f>COUNTIFS('[3]Commercial_shrt fields'!AG:AG, "FZ with SLR", '[3]Commercial_shrt fields'!V:V, "Shopping centers (all parcels include vacant for future shopping center)", '[3]Commercial_shrt fields'!AC:AC, 5)</f>
        <v>0</v>
      </c>
      <c r="O27" s="149">
        <f>SUMIFS('[3]Commercial_shrt fields'!AF:AF,'[3]Commercial_shrt fields'!AG:AG, "FZ with SLR", '[3]Commercial_shrt fields'!V:V, "Shopping centers (all parcels include vacant for future shopping center)", '[3]Commercial_shrt fields'!AC:AC,5)</f>
        <v>0</v>
      </c>
      <c r="P27" s="75">
        <f>COUNTIFS('[3]Commercial_shrt fields'!AG:AG, "FZ with SLR", '[3]Commercial_shrt fields'!V:V, "Service stations; car washes; bulk plants; mini lube", '[3]Commercial_shrt fields'!AC:AC, 6)</f>
        <v>0</v>
      </c>
      <c r="Q27" s="20">
        <f>SUMIFS('[3]Commercial_shrt fields'!AF:AF,'[3]Commercial_shrt fields'!AG:AG, "FZ with SLR", '[3]Commercial_shrt fields'!V:V, "Shopping centers (all parcels include vacant for future shopping center)", '[3]Commercial_shrt fields'!AC:AC,6)</f>
        <v>0</v>
      </c>
    </row>
    <row r="28" spans="1:20" s="32" customFormat="1">
      <c r="A28" s="153" t="s">
        <v>88</v>
      </c>
      <c r="B28" s="74">
        <f>COUNTIFS('[3]Commercial_shrt fields'!AG:AG, "FZ no SLR", '[3]Commercial_shrt fields'!V:V, "Vacant")</f>
        <v>21</v>
      </c>
      <c r="C28" s="147">
        <f>SUMIFS('[3]Commercial_shrt fields'!AF:AF,'[3]Commercial_shrt fields'!AG:AG, "FZ no SLR", '[3]Commercial_shrt fields'!V:V, "Vacant")</f>
        <v>22.349984798993109</v>
      </c>
      <c r="D28" s="75">
        <f>COUNTIFS('[3]Commercial_shrt fields'!AG:AG, "FZ with SLR", '[3]Commercial_shrt fields'!V:V, "Vacant", '[3]Commercial_shrt fields'!AC:AC, 0)</f>
        <v>2</v>
      </c>
      <c r="E28" s="148">
        <f>SUMIFS('[3]Commercial_shrt fields'!AF:AF,'[3]Commercial_shrt fields'!AG:AG, "FZ with SLR", '[3]Commercial_shrt fields'!V:V, "Vacant", '[3]Commercial_shrt fields'!AC:AC,0)</f>
        <v>3.9746462080094123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5">
        <f>COUNTIFS('[3]Commercial_shrt fields'!AG:AG, "FZ with SLR", '[3]Commercial_shrt fields'!V:V, "Vacant", '[3]Commercial_shrt fields'!AC:AC, 5)</f>
        <v>3</v>
      </c>
      <c r="O28" s="149">
        <f>SUMIFS('[3]Commercial_shrt fields'!AF:AF,'[3]Commercial_shrt fields'!AG:AG, "FZ with SLR", '[3]Commercial_shrt fields'!V:V, "Vacant", '[3]Commercial_shrt fields'!AC:AC,5)</f>
        <v>14.024503569386361</v>
      </c>
      <c r="P28" s="75">
        <f>COUNTIFS('[3]Commercial_shrt fields'!AG:AG, "FZ with SLR", '[3]Commercial_shrt fields'!V:V, "Vacant", '[3]Commercial_shrt fields'!AC:AC, 6)</f>
        <v>6</v>
      </c>
      <c r="Q28" s="20">
        <f>SUMIFS('[3]Commercial_shrt fields'!AF:AF,'[3]Commercial_shrt fields'!AG:AG, "FZ with SLR", '[3]Commercial_shrt fields'!V:V, "Vacant", '[3]Commercial_shrt fields'!AC:AC,6)</f>
        <v>1.0499328600975666</v>
      </c>
    </row>
    <row r="29" spans="1:20" s="32" customFormat="1">
      <c r="A29" s="29" t="s">
        <v>19</v>
      </c>
      <c r="B29" s="81">
        <f>SUM(B14:B28)</f>
        <v>170</v>
      </c>
      <c r="C29" s="154">
        <f t="shared" ref="C29:Q29" si="0">SUM(C14:C28)</f>
        <v>83.415735002414706</v>
      </c>
      <c r="D29" s="155">
        <f t="shared" si="0"/>
        <v>21</v>
      </c>
      <c r="E29" s="156">
        <f t="shared" si="0"/>
        <v>286.74861784288771</v>
      </c>
      <c r="F29" s="155">
        <f t="shared" si="0"/>
        <v>0</v>
      </c>
      <c r="G29" s="31">
        <f t="shared" si="0"/>
        <v>0</v>
      </c>
      <c r="H29" s="155">
        <f t="shared" si="0"/>
        <v>0</v>
      </c>
      <c r="I29" s="31">
        <f t="shared" si="0"/>
        <v>0</v>
      </c>
      <c r="J29" s="155">
        <f t="shared" si="0"/>
        <v>0</v>
      </c>
      <c r="K29" s="31">
        <f t="shared" si="0"/>
        <v>0</v>
      </c>
      <c r="L29" s="155">
        <f t="shared" si="0"/>
        <v>0</v>
      </c>
      <c r="M29" s="31">
        <f t="shared" si="0"/>
        <v>0</v>
      </c>
      <c r="N29" s="155">
        <f t="shared" si="0"/>
        <v>6</v>
      </c>
      <c r="O29" s="157">
        <f>SUM(O14:O28)</f>
        <v>71.684737099518827</v>
      </c>
      <c r="P29" s="155">
        <f t="shared" si="0"/>
        <v>32</v>
      </c>
      <c r="Q29" s="31">
        <f t="shared" si="0"/>
        <v>7.0959760769322777</v>
      </c>
    </row>
    <row r="30" spans="1:20" s="32" customFormat="1">
      <c r="A30" s="33"/>
      <c r="B30" s="86"/>
      <c r="C30" s="158"/>
      <c r="D30" s="86"/>
      <c r="E30" s="158"/>
      <c r="F30" s="86"/>
      <c r="G30" s="34"/>
      <c r="H30" s="86"/>
      <c r="I30" s="34"/>
      <c r="J30" s="86"/>
      <c r="K30" s="34"/>
      <c r="L30" s="86"/>
      <c r="M30" s="34"/>
      <c r="N30" s="86"/>
      <c r="O30" s="159"/>
      <c r="P30" s="86"/>
      <c r="Q30" s="34"/>
    </row>
    <row r="31" spans="1:20" s="32" customFormat="1">
      <c r="A31" s="5"/>
      <c r="B31" s="86"/>
      <c r="C31" s="158"/>
      <c r="D31" s="86"/>
      <c r="E31" s="158"/>
      <c r="F31" s="87"/>
      <c r="G31" s="34"/>
      <c r="H31" s="86"/>
      <c r="I31" s="34"/>
      <c r="J31" s="86"/>
      <c r="K31" s="34"/>
      <c r="L31" s="86"/>
      <c r="M31" s="34"/>
      <c r="N31" s="86"/>
      <c r="O31" s="159"/>
      <c r="P31" s="86"/>
      <c r="Q31" s="34"/>
    </row>
    <row r="32" spans="1:20">
      <c r="A32" s="35" t="s">
        <v>20</v>
      </c>
      <c r="B32" s="32"/>
      <c r="C32" s="160"/>
      <c r="D32" s="88"/>
      <c r="E32" s="161"/>
      <c r="F32" s="89"/>
      <c r="G32" s="37"/>
      <c r="H32" s="90"/>
      <c r="I32" s="37"/>
      <c r="J32" s="90"/>
      <c r="K32" s="37"/>
      <c r="L32" s="90"/>
      <c r="M32" s="37"/>
      <c r="N32" s="90"/>
      <c r="O32" s="162"/>
      <c r="P32" s="90"/>
      <c r="Q32" s="37"/>
      <c r="R32" s="32"/>
      <c r="S32" s="32"/>
      <c r="T32" s="32"/>
    </row>
    <row r="33" spans="1:20" s="21" customFormat="1">
      <c r="A33" s="38"/>
      <c r="B33" s="18"/>
      <c r="C33" s="163"/>
      <c r="D33" s="68" t="s">
        <v>43</v>
      </c>
      <c r="E33" s="148"/>
      <c r="F33" s="69" t="s">
        <v>44</v>
      </c>
      <c r="G33" s="20"/>
      <c r="H33" s="68" t="s">
        <v>45</v>
      </c>
      <c r="I33" s="20"/>
      <c r="J33" s="68" t="s">
        <v>46</v>
      </c>
      <c r="K33" s="20"/>
      <c r="L33" s="68" t="s">
        <v>47</v>
      </c>
      <c r="M33" s="20"/>
      <c r="N33" s="91" t="s">
        <v>48</v>
      </c>
      <c r="O33" s="164"/>
      <c r="P33" s="91" t="s">
        <v>49</v>
      </c>
      <c r="Q33" s="92"/>
      <c r="R33" s="18"/>
      <c r="S33" s="18"/>
      <c r="T33" s="18"/>
    </row>
    <row r="34" spans="1:20" s="21" customFormat="1">
      <c r="A34" s="38"/>
      <c r="B34" s="18"/>
      <c r="C34" s="163"/>
      <c r="D34" s="93" t="s">
        <v>50</v>
      </c>
      <c r="E34" s="150" t="s">
        <v>51</v>
      </c>
      <c r="F34" s="72" t="s">
        <v>50</v>
      </c>
      <c r="G34" s="24" t="s">
        <v>51</v>
      </c>
      <c r="H34" s="71" t="s">
        <v>50</v>
      </c>
      <c r="I34" s="24" t="s">
        <v>51</v>
      </c>
      <c r="J34" s="71" t="s">
        <v>50</v>
      </c>
      <c r="K34" s="24" t="s">
        <v>51</v>
      </c>
      <c r="L34" s="71" t="s">
        <v>50</v>
      </c>
      <c r="M34" s="24" t="s">
        <v>51</v>
      </c>
      <c r="N34" s="94" t="s">
        <v>50</v>
      </c>
      <c r="O34" s="165" t="s">
        <v>51</v>
      </c>
      <c r="P34" s="94" t="s">
        <v>50</v>
      </c>
      <c r="Q34" s="95" t="s">
        <v>51</v>
      </c>
      <c r="R34" s="18"/>
      <c r="S34" s="18"/>
      <c r="T34" s="18"/>
    </row>
    <row r="35" spans="1:20">
      <c r="A35" s="152" t="s">
        <v>74</v>
      </c>
      <c r="B35" s="32"/>
      <c r="C35" s="160"/>
      <c r="D35" s="75">
        <f>D14+B14</f>
        <v>18</v>
      </c>
      <c r="E35" s="148">
        <f>E14+C14</f>
        <v>12.297877311484848</v>
      </c>
      <c r="F35" s="76">
        <f t="shared" ref="F35:Q49" si="1">F14+D35</f>
        <v>18</v>
      </c>
      <c r="G35" s="20">
        <f t="shared" si="1"/>
        <v>12.297877311484848</v>
      </c>
      <c r="H35" s="75">
        <f t="shared" si="1"/>
        <v>18</v>
      </c>
      <c r="I35" s="20">
        <f t="shared" si="1"/>
        <v>12.297877311484848</v>
      </c>
      <c r="J35" s="75">
        <f t="shared" si="1"/>
        <v>18</v>
      </c>
      <c r="K35" s="20">
        <f t="shared" si="1"/>
        <v>12.297877311484848</v>
      </c>
      <c r="L35" s="75">
        <f t="shared" si="1"/>
        <v>18</v>
      </c>
      <c r="M35" s="20">
        <f t="shared" si="1"/>
        <v>12.297877311484848</v>
      </c>
      <c r="N35" s="97">
        <f t="shared" si="1"/>
        <v>19</v>
      </c>
      <c r="O35" s="165">
        <f t="shared" si="1"/>
        <v>12.431883953187556</v>
      </c>
      <c r="P35" s="97">
        <f t="shared" si="1"/>
        <v>23</v>
      </c>
      <c r="Q35" s="95">
        <f t="shared" si="1"/>
        <v>13.441668700992194</v>
      </c>
      <c r="R35" s="32"/>
      <c r="S35" s="32"/>
      <c r="T35" s="32"/>
    </row>
    <row r="36" spans="1:20">
      <c r="A36" s="152" t="s">
        <v>75</v>
      </c>
      <c r="B36" s="32"/>
      <c r="C36" s="160"/>
      <c r="D36" s="75">
        <f t="shared" ref="D36:E49" si="2">D15+B15</f>
        <v>14</v>
      </c>
      <c r="E36" s="148">
        <f t="shared" si="2"/>
        <v>160.58892586153118</v>
      </c>
      <c r="F36" s="76">
        <f t="shared" si="1"/>
        <v>14</v>
      </c>
      <c r="G36" s="20">
        <f t="shared" si="1"/>
        <v>160.58892586153118</v>
      </c>
      <c r="H36" s="75">
        <f t="shared" si="1"/>
        <v>14</v>
      </c>
      <c r="I36" s="20">
        <f t="shared" si="1"/>
        <v>160.58892586153118</v>
      </c>
      <c r="J36" s="75">
        <f t="shared" si="1"/>
        <v>14</v>
      </c>
      <c r="K36" s="20">
        <f t="shared" si="1"/>
        <v>160.58892586153118</v>
      </c>
      <c r="L36" s="75">
        <f t="shared" si="1"/>
        <v>14</v>
      </c>
      <c r="M36" s="20">
        <f t="shared" si="1"/>
        <v>160.58892586153118</v>
      </c>
      <c r="N36" s="97">
        <f t="shared" si="1"/>
        <v>14</v>
      </c>
      <c r="O36" s="165">
        <f t="shared" si="1"/>
        <v>160.58892586153118</v>
      </c>
      <c r="P36" s="97">
        <f t="shared" si="1"/>
        <v>14</v>
      </c>
      <c r="Q36" s="95">
        <f t="shared" si="1"/>
        <v>160.58892586153118</v>
      </c>
      <c r="R36" s="32"/>
      <c r="S36" s="32"/>
      <c r="T36" s="32"/>
    </row>
    <row r="37" spans="1:20">
      <c r="A37" s="152" t="s">
        <v>76</v>
      </c>
      <c r="B37" s="21"/>
      <c r="C37" s="166"/>
      <c r="D37" s="75">
        <f t="shared" si="2"/>
        <v>67</v>
      </c>
      <c r="E37" s="148">
        <f t="shared" si="2"/>
        <v>14.567214862279952</v>
      </c>
      <c r="F37" s="76">
        <f t="shared" si="1"/>
        <v>67</v>
      </c>
      <c r="G37" s="20">
        <f t="shared" si="1"/>
        <v>14.567214862279952</v>
      </c>
      <c r="H37" s="75">
        <f t="shared" si="1"/>
        <v>67</v>
      </c>
      <c r="I37" s="20">
        <f t="shared" si="1"/>
        <v>14.567214862279952</v>
      </c>
      <c r="J37" s="75">
        <f t="shared" si="1"/>
        <v>67</v>
      </c>
      <c r="K37" s="20">
        <f t="shared" si="1"/>
        <v>14.567214862279952</v>
      </c>
      <c r="L37" s="75">
        <f t="shared" si="1"/>
        <v>67</v>
      </c>
      <c r="M37" s="20">
        <f t="shared" si="1"/>
        <v>14.567214862279952</v>
      </c>
      <c r="N37" s="97">
        <f t="shared" si="1"/>
        <v>67</v>
      </c>
      <c r="O37" s="165">
        <f t="shared" si="1"/>
        <v>14.567214862279952</v>
      </c>
      <c r="P37" s="97">
        <f t="shared" si="1"/>
        <v>80</v>
      </c>
      <c r="Q37" s="95">
        <f t="shared" si="1"/>
        <v>16.836396301921138</v>
      </c>
      <c r="R37" s="18"/>
      <c r="S37" s="18"/>
      <c r="T37" s="18"/>
    </row>
    <row r="38" spans="1:20">
      <c r="A38" s="152" t="s">
        <v>77</v>
      </c>
      <c r="B38" s="21"/>
      <c r="C38" s="166"/>
      <c r="D38" s="75">
        <f t="shared" si="2"/>
        <v>3</v>
      </c>
      <c r="E38" s="148">
        <f t="shared" si="2"/>
        <v>82.944564682231402</v>
      </c>
      <c r="F38" s="76">
        <f t="shared" si="1"/>
        <v>3</v>
      </c>
      <c r="G38" s="20">
        <f t="shared" si="1"/>
        <v>82.944564682231402</v>
      </c>
      <c r="H38" s="75">
        <f t="shared" si="1"/>
        <v>3</v>
      </c>
      <c r="I38" s="20">
        <f t="shared" si="1"/>
        <v>82.944564682231402</v>
      </c>
      <c r="J38" s="75">
        <f t="shared" si="1"/>
        <v>3</v>
      </c>
      <c r="K38" s="20">
        <f t="shared" si="1"/>
        <v>82.944564682231402</v>
      </c>
      <c r="L38" s="75">
        <f t="shared" si="1"/>
        <v>3</v>
      </c>
      <c r="M38" s="20">
        <f t="shared" si="1"/>
        <v>82.944564682231402</v>
      </c>
      <c r="N38" s="167">
        <f t="shared" si="1"/>
        <v>4</v>
      </c>
      <c r="O38" s="168">
        <f t="shared" si="1"/>
        <v>113.10983182066116</v>
      </c>
      <c r="P38" s="167">
        <f t="shared" si="1"/>
        <v>4</v>
      </c>
      <c r="Q38" s="169">
        <f t="shared" si="1"/>
        <v>113.10983182066116</v>
      </c>
      <c r="R38" s="18"/>
      <c r="S38" s="18"/>
      <c r="T38" s="18"/>
    </row>
    <row r="39" spans="1:20">
      <c r="A39" s="152" t="s">
        <v>78</v>
      </c>
      <c r="B39" s="21"/>
      <c r="C39" s="166"/>
      <c r="D39" s="75">
        <f t="shared" si="2"/>
        <v>0</v>
      </c>
      <c r="E39" s="148">
        <f t="shared" si="2"/>
        <v>0</v>
      </c>
      <c r="F39" s="76">
        <f t="shared" si="1"/>
        <v>0</v>
      </c>
      <c r="G39" s="20">
        <f t="shared" si="1"/>
        <v>0</v>
      </c>
      <c r="H39" s="75">
        <f t="shared" si="1"/>
        <v>0</v>
      </c>
      <c r="I39" s="20">
        <f t="shared" si="1"/>
        <v>0</v>
      </c>
      <c r="J39" s="75">
        <f t="shared" si="1"/>
        <v>0</v>
      </c>
      <c r="K39" s="20">
        <f t="shared" si="1"/>
        <v>0</v>
      </c>
      <c r="L39" s="75">
        <f t="shared" si="1"/>
        <v>0</v>
      </c>
      <c r="M39" s="20">
        <f t="shared" si="1"/>
        <v>0</v>
      </c>
      <c r="N39" s="167">
        <f t="shared" si="1"/>
        <v>0</v>
      </c>
      <c r="O39" s="168">
        <f t="shared" si="1"/>
        <v>0</v>
      </c>
      <c r="P39" s="167">
        <f t="shared" si="1"/>
        <v>1</v>
      </c>
      <c r="Q39" s="169">
        <f t="shared" si="1"/>
        <v>0.16417652858011939</v>
      </c>
      <c r="R39" s="18"/>
      <c r="S39" s="18"/>
      <c r="T39" s="18"/>
    </row>
    <row r="40" spans="1:20" s="46" customFormat="1">
      <c r="A40" s="152" t="s">
        <v>79</v>
      </c>
      <c r="B40" s="18"/>
      <c r="C40" s="163"/>
      <c r="D40" s="75">
        <f t="shared" si="2"/>
        <v>4</v>
      </c>
      <c r="E40" s="148">
        <f t="shared" si="2"/>
        <v>0.58318542026675857</v>
      </c>
      <c r="F40" s="76">
        <f t="shared" si="1"/>
        <v>4</v>
      </c>
      <c r="G40" s="20">
        <f t="shared" si="1"/>
        <v>0.58318542026675857</v>
      </c>
      <c r="H40" s="75">
        <f t="shared" si="1"/>
        <v>4</v>
      </c>
      <c r="I40" s="20">
        <f t="shared" si="1"/>
        <v>0.58318542026675857</v>
      </c>
      <c r="J40" s="75">
        <f t="shared" si="1"/>
        <v>4</v>
      </c>
      <c r="K40" s="20">
        <f t="shared" si="1"/>
        <v>0.58318542026675857</v>
      </c>
      <c r="L40" s="75">
        <f t="shared" si="1"/>
        <v>4</v>
      </c>
      <c r="M40" s="20">
        <f t="shared" si="1"/>
        <v>0.58318542026675857</v>
      </c>
      <c r="N40" s="167">
        <f t="shared" si="1"/>
        <v>4</v>
      </c>
      <c r="O40" s="168">
        <f t="shared" si="1"/>
        <v>0.58318542026675857</v>
      </c>
      <c r="P40" s="167">
        <f t="shared" si="1"/>
        <v>4</v>
      </c>
      <c r="Q40" s="169">
        <f t="shared" si="1"/>
        <v>0.58318542026675857</v>
      </c>
      <c r="R40" s="18"/>
      <c r="S40" s="18"/>
      <c r="T40" s="18"/>
    </row>
    <row r="41" spans="1:20" s="46" customFormat="1">
      <c r="A41" s="152" t="s">
        <v>80</v>
      </c>
      <c r="B41" s="18"/>
      <c r="C41" s="163"/>
      <c r="D41" s="75">
        <f t="shared" si="2"/>
        <v>4</v>
      </c>
      <c r="E41" s="148">
        <f t="shared" si="2"/>
        <v>0.46003351915426993</v>
      </c>
      <c r="F41" s="76">
        <f t="shared" si="1"/>
        <v>4</v>
      </c>
      <c r="G41" s="20">
        <f t="shared" si="1"/>
        <v>0.46003351915426993</v>
      </c>
      <c r="H41" s="75">
        <f t="shared" si="1"/>
        <v>4</v>
      </c>
      <c r="I41" s="20">
        <f t="shared" si="1"/>
        <v>0.46003351915426993</v>
      </c>
      <c r="J41" s="75">
        <f t="shared" si="1"/>
        <v>4</v>
      </c>
      <c r="K41" s="20">
        <f t="shared" si="1"/>
        <v>0.46003351915426993</v>
      </c>
      <c r="L41" s="75">
        <f t="shared" si="1"/>
        <v>4</v>
      </c>
      <c r="M41" s="20">
        <f t="shared" si="1"/>
        <v>0.46003351915426993</v>
      </c>
      <c r="N41" s="167">
        <f t="shared" si="1"/>
        <v>4</v>
      </c>
      <c r="O41" s="168">
        <f t="shared" si="1"/>
        <v>0.46003351915426993</v>
      </c>
      <c r="P41" s="167">
        <f t="shared" si="1"/>
        <v>6</v>
      </c>
      <c r="Q41" s="169">
        <f t="shared" si="1"/>
        <v>0.64489978157070704</v>
      </c>
      <c r="R41" s="18"/>
      <c r="S41" s="18"/>
      <c r="T41" s="18"/>
    </row>
    <row r="42" spans="1:20" s="46" customFormat="1">
      <c r="A42" s="152" t="s">
        <v>81</v>
      </c>
      <c r="B42" s="18"/>
      <c r="C42" s="163"/>
      <c r="D42" s="75">
        <f t="shared" si="2"/>
        <v>4</v>
      </c>
      <c r="E42" s="148">
        <f t="shared" si="2"/>
        <v>0.7279322829623508</v>
      </c>
      <c r="F42" s="76">
        <f t="shared" si="1"/>
        <v>4</v>
      </c>
      <c r="G42" s="20">
        <f t="shared" si="1"/>
        <v>0.7279322829623508</v>
      </c>
      <c r="H42" s="75">
        <f t="shared" si="1"/>
        <v>4</v>
      </c>
      <c r="I42" s="20">
        <f t="shared" si="1"/>
        <v>0.7279322829623508</v>
      </c>
      <c r="J42" s="75">
        <f t="shared" si="1"/>
        <v>4</v>
      </c>
      <c r="K42" s="20">
        <f t="shared" si="1"/>
        <v>0.7279322829623508</v>
      </c>
      <c r="L42" s="75">
        <f t="shared" si="1"/>
        <v>4</v>
      </c>
      <c r="M42" s="20">
        <f t="shared" si="1"/>
        <v>0.7279322829623508</v>
      </c>
      <c r="N42" s="167">
        <f t="shared" si="1"/>
        <v>5</v>
      </c>
      <c r="O42" s="168">
        <f t="shared" si="1"/>
        <v>28.088892032962349</v>
      </c>
      <c r="P42" s="167">
        <f t="shared" si="1"/>
        <v>7</v>
      </c>
      <c r="Q42" s="169">
        <f t="shared" si="1"/>
        <v>29.44589306384389</v>
      </c>
      <c r="R42" s="18"/>
      <c r="S42" s="18"/>
      <c r="T42" s="18"/>
    </row>
    <row r="43" spans="1:20" s="46" customFormat="1">
      <c r="A43" s="152" t="s">
        <v>82</v>
      </c>
      <c r="B43" s="18"/>
      <c r="C43" s="163"/>
      <c r="D43" s="75">
        <f t="shared" si="2"/>
        <v>7</v>
      </c>
      <c r="E43" s="148">
        <f t="shared" si="2"/>
        <v>17.046396232566803</v>
      </c>
      <c r="F43" s="76">
        <f t="shared" si="1"/>
        <v>7</v>
      </c>
      <c r="G43" s="20">
        <f t="shared" si="1"/>
        <v>17.046396232566803</v>
      </c>
      <c r="H43" s="75">
        <f t="shared" si="1"/>
        <v>7</v>
      </c>
      <c r="I43" s="20">
        <f t="shared" si="1"/>
        <v>17.046396232566803</v>
      </c>
      <c r="J43" s="75">
        <f t="shared" si="1"/>
        <v>7</v>
      </c>
      <c r="K43" s="20">
        <f t="shared" si="1"/>
        <v>17.046396232566803</v>
      </c>
      <c r="L43" s="75">
        <f t="shared" si="1"/>
        <v>7</v>
      </c>
      <c r="M43" s="20">
        <f t="shared" si="1"/>
        <v>17.046396232566803</v>
      </c>
      <c r="N43" s="167">
        <f t="shared" si="1"/>
        <v>7</v>
      </c>
      <c r="O43" s="168">
        <f t="shared" si="1"/>
        <v>17.046396232566803</v>
      </c>
      <c r="P43" s="167">
        <f t="shared" si="1"/>
        <v>8</v>
      </c>
      <c r="Q43" s="169">
        <f t="shared" si="1"/>
        <v>17.763900485183882</v>
      </c>
      <c r="R43" s="18"/>
      <c r="S43" s="18"/>
      <c r="T43" s="18"/>
    </row>
    <row r="44" spans="1:20" s="46" customFormat="1">
      <c r="A44" s="152" t="s">
        <v>83</v>
      </c>
      <c r="B44" s="18"/>
      <c r="C44" s="163"/>
      <c r="D44" s="75">
        <f t="shared" si="2"/>
        <v>1</v>
      </c>
      <c r="E44" s="148">
        <f t="shared" si="2"/>
        <v>0.16073829907506887</v>
      </c>
      <c r="F44" s="76">
        <f t="shared" si="1"/>
        <v>1</v>
      </c>
      <c r="G44" s="20">
        <f t="shared" si="1"/>
        <v>0.16073829907506887</v>
      </c>
      <c r="H44" s="75">
        <f t="shared" si="1"/>
        <v>1</v>
      </c>
      <c r="I44" s="20">
        <f t="shared" si="1"/>
        <v>0.16073829907506887</v>
      </c>
      <c r="J44" s="75">
        <f t="shared" si="1"/>
        <v>1</v>
      </c>
      <c r="K44" s="20">
        <f t="shared" si="1"/>
        <v>0.16073829907506887</v>
      </c>
      <c r="L44" s="75">
        <f t="shared" si="1"/>
        <v>1</v>
      </c>
      <c r="M44" s="20">
        <f t="shared" si="1"/>
        <v>0.16073829907506887</v>
      </c>
      <c r="N44" s="167">
        <f t="shared" si="1"/>
        <v>1</v>
      </c>
      <c r="O44" s="168">
        <f t="shared" si="1"/>
        <v>0.16073829907506887</v>
      </c>
      <c r="P44" s="167">
        <f t="shared" si="1"/>
        <v>1</v>
      </c>
      <c r="Q44" s="169">
        <f t="shared" si="1"/>
        <v>0.16073829907506887</v>
      </c>
      <c r="R44" s="18"/>
      <c r="S44" s="18"/>
      <c r="T44" s="18"/>
    </row>
    <row r="45" spans="1:20" s="46" customFormat="1">
      <c r="A45" s="152" t="s">
        <v>84</v>
      </c>
      <c r="B45" s="18"/>
      <c r="C45" s="163"/>
      <c r="D45" s="75">
        <f t="shared" si="2"/>
        <v>34</v>
      </c>
      <c r="E45" s="148">
        <f t="shared" si="2"/>
        <v>51.454270819213733</v>
      </c>
      <c r="F45" s="76">
        <f t="shared" si="1"/>
        <v>34</v>
      </c>
      <c r="G45" s="20">
        <f t="shared" si="1"/>
        <v>51.454270819213733</v>
      </c>
      <c r="H45" s="75">
        <f t="shared" si="1"/>
        <v>34</v>
      </c>
      <c r="I45" s="20">
        <f t="shared" si="1"/>
        <v>51.454270819213733</v>
      </c>
      <c r="J45" s="75">
        <f t="shared" si="1"/>
        <v>34</v>
      </c>
      <c r="K45" s="20">
        <f t="shared" si="1"/>
        <v>51.454270819213733</v>
      </c>
      <c r="L45" s="75">
        <f t="shared" si="1"/>
        <v>34</v>
      </c>
      <c r="M45" s="20">
        <f t="shared" si="1"/>
        <v>51.454270819213733</v>
      </c>
      <c r="N45" s="167">
        <f t="shared" si="1"/>
        <v>34</v>
      </c>
      <c r="O45" s="168">
        <f t="shared" si="1"/>
        <v>51.454270819213733</v>
      </c>
      <c r="P45" s="167">
        <f t="shared" si="1"/>
        <v>37</v>
      </c>
      <c r="Q45" s="169">
        <f t="shared" si="1"/>
        <v>51.797799774107439</v>
      </c>
      <c r="R45" s="18"/>
      <c r="S45" s="18"/>
      <c r="T45" s="18"/>
    </row>
    <row r="46" spans="1:20" s="46" customFormat="1">
      <c r="A46" s="152" t="s">
        <v>85</v>
      </c>
      <c r="B46" s="18"/>
      <c r="C46" s="163"/>
      <c r="D46" s="75">
        <f t="shared" si="2"/>
        <v>6</v>
      </c>
      <c r="E46" s="148">
        <f t="shared" si="2"/>
        <v>0.93396755155991751</v>
      </c>
      <c r="F46" s="76">
        <f t="shared" si="1"/>
        <v>6</v>
      </c>
      <c r="G46" s="20">
        <f t="shared" si="1"/>
        <v>0.93396755155991751</v>
      </c>
      <c r="H46" s="75">
        <f t="shared" si="1"/>
        <v>6</v>
      </c>
      <c r="I46" s="20">
        <f t="shared" si="1"/>
        <v>0.93396755155991751</v>
      </c>
      <c r="J46" s="75">
        <f t="shared" si="1"/>
        <v>6</v>
      </c>
      <c r="K46" s="20">
        <f t="shared" si="1"/>
        <v>0.93396755155991751</v>
      </c>
      <c r="L46" s="75">
        <f t="shared" si="1"/>
        <v>6</v>
      </c>
      <c r="M46" s="20">
        <f t="shared" si="1"/>
        <v>0.93396755155991751</v>
      </c>
      <c r="N46" s="167">
        <f t="shared" si="1"/>
        <v>6</v>
      </c>
      <c r="O46" s="168">
        <f t="shared" si="1"/>
        <v>0.93396755155991751</v>
      </c>
      <c r="P46" s="167">
        <f t="shared" si="1"/>
        <v>6</v>
      </c>
      <c r="Q46" s="169">
        <f t="shared" si="1"/>
        <v>0.93396755155991751</v>
      </c>
      <c r="R46" s="18"/>
      <c r="S46" s="18"/>
      <c r="T46" s="18"/>
    </row>
    <row r="47" spans="1:20" s="46" customFormat="1">
      <c r="A47" s="152" t="s">
        <v>86</v>
      </c>
      <c r="B47" s="18"/>
      <c r="C47" s="163"/>
      <c r="D47" s="75">
        <f t="shared" si="2"/>
        <v>5</v>
      </c>
      <c r="E47" s="148">
        <f t="shared" si="2"/>
        <v>1.3192213915452249</v>
      </c>
      <c r="F47" s="76">
        <f t="shared" si="1"/>
        <v>5</v>
      </c>
      <c r="G47" s="20">
        <f t="shared" si="1"/>
        <v>1.3192213915452249</v>
      </c>
      <c r="H47" s="75">
        <f t="shared" si="1"/>
        <v>5</v>
      </c>
      <c r="I47" s="20">
        <f t="shared" si="1"/>
        <v>1.3192213915452249</v>
      </c>
      <c r="J47" s="75">
        <f t="shared" si="1"/>
        <v>5</v>
      </c>
      <c r="K47" s="20">
        <f t="shared" si="1"/>
        <v>1.3192213915452249</v>
      </c>
      <c r="L47" s="75">
        <f t="shared" si="1"/>
        <v>5</v>
      </c>
      <c r="M47" s="20">
        <f t="shared" si="1"/>
        <v>1.3192213915452249</v>
      </c>
      <c r="N47" s="167">
        <f t="shared" si="1"/>
        <v>5</v>
      </c>
      <c r="O47" s="168">
        <f t="shared" si="1"/>
        <v>1.3192213915452249</v>
      </c>
      <c r="P47" s="167">
        <f t="shared" si="1"/>
        <v>5</v>
      </c>
      <c r="Q47" s="169">
        <f t="shared" si="1"/>
        <v>1.3192213915452249</v>
      </c>
      <c r="R47" s="18"/>
      <c r="S47" s="18"/>
      <c r="T47" s="18"/>
    </row>
    <row r="48" spans="1:20" s="46" customFormat="1">
      <c r="A48" s="152" t="s">
        <v>87</v>
      </c>
      <c r="B48" s="18"/>
      <c r="C48" s="163"/>
      <c r="D48" s="75">
        <f t="shared" si="2"/>
        <v>1</v>
      </c>
      <c r="E48" s="148">
        <f t="shared" si="2"/>
        <v>0.75539360442837467</v>
      </c>
      <c r="F48" s="76">
        <f t="shared" si="1"/>
        <v>1</v>
      </c>
      <c r="G48" s="20">
        <f t="shared" si="1"/>
        <v>0.75539360442837467</v>
      </c>
      <c r="H48" s="75">
        <f t="shared" si="1"/>
        <v>1</v>
      </c>
      <c r="I48" s="20">
        <f t="shared" si="1"/>
        <v>0.75539360442837467</v>
      </c>
      <c r="J48" s="75">
        <f t="shared" si="1"/>
        <v>1</v>
      </c>
      <c r="K48" s="20">
        <f t="shared" si="1"/>
        <v>0.75539360442837467</v>
      </c>
      <c r="L48" s="75">
        <f t="shared" si="1"/>
        <v>1</v>
      </c>
      <c r="M48" s="20">
        <f t="shared" si="1"/>
        <v>0.75539360442837467</v>
      </c>
      <c r="N48" s="167">
        <f t="shared" si="1"/>
        <v>1</v>
      </c>
      <c r="O48" s="168">
        <f t="shared" si="1"/>
        <v>0.75539360442837467</v>
      </c>
      <c r="P48" s="167">
        <f t="shared" si="1"/>
        <v>1</v>
      </c>
      <c r="Q48" s="169">
        <f t="shared" si="1"/>
        <v>0.75539360442837467</v>
      </c>
      <c r="R48" s="18"/>
      <c r="S48" s="18"/>
      <c r="T48" s="18"/>
    </row>
    <row r="49" spans="1:20" s="46" customFormat="1">
      <c r="A49" s="153" t="s">
        <v>88</v>
      </c>
      <c r="B49" s="18"/>
      <c r="C49" s="163"/>
      <c r="D49" s="75">
        <f t="shared" si="2"/>
        <v>23</v>
      </c>
      <c r="E49" s="148">
        <f t="shared" si="2"/>
        <v>26.324631007002523</v>
      </c>
      <c r="F49" s="76">
        <f t="shared" si="1"/>
        <v>23</v>
      </c>
      <c r="G49" s="20">
        <f t="shared" si="1"/>
        <v>26.324631007002523</v>
      </c>
      <c r="H49" s="75">
        <f t="shared" si="1"/>
        <v>23</v>
      </c>
      <c r="I49" s="20">
        <f t="shared" si="1"/>
        <v>26.324631007002523</v>
      </c>
      <c r="J49" s="75">
        <f t="shared" si="1"/>
        <v>23</v>
      </c>
      <c r="K49" s="20">
        <f t="shared" si="1"/>
        <v>26.324631007002523</v>
      </c>
      <c r="L49" s="75">
        <f t="shared" si="1"/>
        <v>23</v>
      </c>
      <c r="M49" s="20">
        <f t="shared" si="1"/>
        <v>26.324631007002523</v>
      </c>
      <c r="N49" s="167">
        <f t="shared" si="1"/>
        <v>26</v>
      </c>
      <c r="O49" s="168">
        <f t="shared" si="1"/>
        <v>40.349134576388884</v>
      </c>
      <c r="P49" s="167">
        <f t="shared" si="1"/>
        <v>32</v>
      </c>
      <c r="Q49" s="169">
        <f t="shared" si="1"/>
        <v>41.399067436486447</v>
      </c>
      <c r="R49" s="18"/>
      <c r="S49" s="18"/>
      <c r="T49" s="18"/>
    </row>
    <row r="50" spans="1:20" s="46" customFormat="1">
      <c r="A50" s="29" t="s">
        <v>19</v>
      </c>
      <c r="B50" s="18"/>
      <c r="C50" s="163"/>
      <c r="D50" s="83">
        <f>SUM(D35:D49)</f>
        <v>191</v>
      </c>
      <c r="E50" s="170">
        <f t="shared" ref="E50:Q50" si="3">SUM(E35:E49)</f>
        <v>370.16435284530235</v>
      </c>
      <c r="F50" s="83">
        <f t="shared" si="3"/>
        <v>191</v>
      </c>
      <c r="G50" s="84">
        <f t="shared" si="3"/>
        <v>370.16435284530235</v>
      </c>
      <c r="H50" s="83">
        <f t="shared" si="3"/>
        <v>191</v>
      </c>
      <c r="I50" s="84">
        <f t="shared" si="3"/>
        <v>370.16435284530235</v>
      </c>
      <c r="J50" s="83">
        <f t="shared" si="3"/>
        <v>191</v>
      </c>
      <c r="K50" s="84">
        <f t="shared" si="3"/>
        <v>370.16435284530235</v>
      </c>
      <c r="L50" s="83">
        <f t="shared" si="3"/>
        <v>191</v>
      </c>
      <c r="M50" s="84">
        <f t="shared" si="3"/>
        <v>370.16435284530235</v>
      </c>
      <c r="N50" s="83">
        <f t="shared" si="3"/>
        <v>197</v>
      </c>
      <c r="O50" s="171">
        <f t="shared" si="3"/>
        <v>441.84908994482123</v>
      </c>
      <c r="P50" s="83">
        <f t="shared" si="3"/>
        <v>229</v>
      </c>
      <c r="Q50" s="84">
        <f t="shared" si="3"/>
        <v>448.94506602175352</v>
      </c>
      <c r="R50" s="18"/>
      <c r="S50" s="18"/>
      <c r="T50" s="18"/>
    </row>
    <row r="51" spans="1:20" s="46" customFormat="1">
      <c r="A51" s="33"/>
      <c r="B51" s="18"/>
      <c r="C51" s="163"/>
      <c r="D51" s="86"/>
      <c r="E51" s="158"/>
      <c r="F51" s="102"/>
      <c r="G51" s="39"/>
      <c r="H51" s="65"/>
      <c r="I51" s="39"/>
      <c r="J51" s="18"/>
      <c r="K51" s="17"/>
      <c r="L51" s="65"/>
      <c r="M51" s="17"/>
      <c r="N51" s="65"/>
      <c r="O51" s="146"/>
      <c r="P51" s="65"/>
      <c r="Q51" s="17"/>
      <c r="R51" s="18"/>
      <c r="S51" s="18"/>
      <c r="T51" s="18"/>
    </row>
    <row r="52" spans="1:20" s="46" customFormat="1">
      <c r="A52" s="33"/>
      <c r="B52" s="18"/>
      <c r="C52" s="163"/>
      <c r="D52" s="86"/>
      <c r="E52" s="158"/>
      <c r="F52" s="102"/>
      <c r="G52" s="39"/>
      <c r="H52" s="65"/>
      <c r="I52" s="39"/>
      <c r="J52" s="18"/>
      <c r="K52" s="17"/>
      <c r="L52" s="65"/>
      <c r="M52" s="17"/>
      <c r="N52" s="65"/>
      <c r="O52" s="146"/>
      <c r="P52" s="65"/>
      <c r="Q52" s="17"/>
      <c r="R52" s="18"/>
      <c r="S52" s="18"/>
      <c r="T52" s="18"/>
    </row>
    <row r="53" spans="1:20" s="46" customFormat="1">
      <c r="A53" s="33"/>
      <c r="B53" s="18"/>
      <c r="C53" s="163"/>
      <c r="D53" s="86"/>
      <c r="E53" s="158"/>
      <c r="F53" s="102"/>
      <c r="G53" s="39"/>
      <c r="H53" s="65"/>
      <c r="I53" s="39"/>
      <c r="J53" s="18"/>
      <c r="K53" s="17"/>
      <c r="L53" s="65"/>
      <c r="M53" s="17"/>
      <c r="N53" s="65"/>
      <c r="O53" s="146"/>
      <c r="P53" s="65"/>
      <c r="Q53" s="17"/>
      <c r="R53" s="18"/>
      <c r="S53" s="18"/>
      <c r="T53" s="18"/>
    </row>
    <row r="54" spans="1:20">
      <c r="A54" s="103" t="s">
        <v>6</v>
      </c>
      <c r="B54" s="21"/>
      <c r="C54" s="166"/>
      <c r="D54" s="21"/>
      <c r="E54" s="166"/>
      <c r="F54" s="172"/>
      <c r="G54" s="51"/>
      <c r="H54" s="65"/>
      <c r="I54" s="39"/>
      <c r="J54" s="18"/>
      <c r="K54" s="17"/>
      <c r="L54" s="65"/>
      <c r="M54" s="17"/>
      <c r="N54" s="65"/>
      <c r="O54" s="146"/>
      <c r="P54" s="65"/>
      <c r="Q54" s="17"/>
      <c r="R54" s="18"/>
      <c r="S54" s="18"/>
      <c r="T54" s="18"/>
    </row>
    <row r="55" spans="1:20" s="21" customFormat="1">
      <c r="A55" s="14"/>
      <c r="F55" s="106" t="s">
        <v>56</v>
      </c>
      <c r="G55" s="173"/>
      <c r="H55" s="106" t="s">
        <v>57</v>
      </c>
      <c r="I55" s="173"/>
      <c r="J55" s="107" t="s">
        <v>58</v>
      </c>
      <c r="K55" s="105"/>
      <c r="L55" s="106" t="s">
        <v>59</v>
      </c>
      <c r="M55" s="105"/>
      <c r="N55" s="106" t="s">
        <v>60</v>
      </c>
      <c r="O55" s="105"/>
      <c r="P55" s="106" t="s">
        <v>61</v>
      </c>
      <c r="Q55" s="105"/>
      <c r="R55" s="106" t="s">
        <v>62</v>
      </c>
      <c r="S55" s="174"/>
      <c r="T55" s="18"/>
    </row>
    <row r="56" spans="1:20" s="21" customFormat="1">
      <c r="A56" s="14"/>
      <c r="F56" s="118" t="s">
        <v>50</v>
      </c>
      <c r="G56" s="175" t="s">
        <v>51</v>
      </c>
      <c r="H56" s="108" t="s">
        <v>50</v>
      </c>
      <c r="I56" s="175" t="s">
        <v>51</v>
      </c>
      <c r="J56" s="110" t="s">
        <v>50</v>
      </c>
      <c r="K56" s="109" t="s">
        <v>51</v>
      </c>
      <c r="L56" s="108" t="s">
        <v>50</v>
      </c>
      <c r="M56" s="109" t="s">
        <v>51</v>
      </c>
      <c r="N56" s="108" t="s">
        <v>50</v>
      </c>
      <c r="O56" s="109" t="s">
        <v>51</v>
      </c>
      <c r="P56" s="108" t="s">
        <v>50</v>
      </c>
      <c r="Q56" s="109" t="s">
        <v>51</v>
      </c>
      <c r="R56" s="108" t="s">
        <v>50</v>
      </c>
      <c r="S56" s="176" t="s">
        <v>51</v>
      </c>
      <c r="T56" s="18"/>
    </row>
    <row r="57" spans="1:20">
      <c r="A57" s="177" t="s">
        <v>74</v>
      </c>
      <c r="F57" s="113">
        <f>COUNTIFS('[3]Commercial_shrt fields'!AG:AG, "SLR not in FZ", '[3]Commercial_shrt fields'!V:V, "Auto repair", '[3]Commercial_shrt fields'!AC:AC, 0)</f>
        <v>0</v>
      </c>
      <c r="G57" s="173">
        <f>SUMIFS('[3]Commercial_shrt fields'!AF:AF, '[3]Commercial_shrt fields'!AG:AG, "SLR not in FZ", '[3]Commercial_shrt fields'!V:V, "Auto repair", '[3]Commercial_shrt fields'!AC:AC, 0)</f>
        <v>0</v>
      </c>
      <c r="H57" s="111">
        <v>0</v>
      </c>
      <c r="I57" s="173">
        <v>0</v>
      </c>
      <c r="J57" s="112">
        <v>0</v>
      </c>
      <c r="K57" s="105">
        <v>0</v>
      </c>
      <c r="L57" s="113">
        <f>COUNTIFS('[3]Commercial_shrt fields'!AG:AG, "SLR not in FZ", '[3]Commercial_shrt fields'!V:V, "Auto repair", '[3]Commercial_shrt fields'!AC:AC, 3)</f>
        <v>0</v>
      </c>
      <c r="M57" s="105">
        <v>0</v>
      </c>
      <c r="N57" s="113">
        <f>COUNTIFS('[3]Commercial_shrt fields'!AG:AG, "SLR not in FZ", '[3]Commercial_shrt fields'!V:V, "Auto repair", '[3]Commercial_shrt fields'!AC:AC, 4)</f>
        <v>1</v>
      </c>
      <c r="O57" s="105">
        <f>SUMIFS('[3]Commercial_shrt fields'!AF:AF, '[3]Commercial_shrt fields'!AG:AG, "SLR not in FZ", '[3]Commercial_shrt fields'!V:V, "Auto repair", '[3]Commercial_shrt fields'!AC:AC, 4)</f>
        <v>0.86928132870752983</v>
      </c>
      <c r="P57" s="113">
        <f>COUNTIFS('[3]Commercial_shrt fields'!AG:AG, "SLR not in FZ", '[3]Commercial_shrt fields'!V:V, "Auto repair", '[3]Commercial_shrt fields'!AC:AC, 5)</f>
        <v>1</v>
      </c>
      <c r="Q57" s="105">
        <f>SUMIFS('[3]Commercial_shrt fields'!AF:AF, '[3]Commercial_shrt fields'!AG:AG, "SLR not in FZ", '[3]Commercial_shrt fields'!V:V, "Auto repair", '[3]Commercial_shrt fields'!AC:AC, 5)</f>
        <v>0.85416504550275485</v>
      </c>
      <c r="R57" s="113">
        <f>COUNTIFS('[3]Commercial_shrt fields'!AG:AG, "SLR not in FZ", '[3]Commercial_shrt fields'!V:V, "Auto repair", '[3]Commercial_shrt fields'!AC:AC, 6)</f>
        <v>0</v>
      </c>
      <c r="S57" s="174">
        <v>0</v>
      </c>
      <c r="T57" s="18"/>
    </row>
    <row r="58" spans="1:20">
      <c r="A58" s="178" t="s">
        <v>75</v>
      </c>
      <c r="F58" s="113">
        <f>COUNTIFS('[3]Commercial_shrt fields'!AG:AG, "SLR not in FZ", '[3]Commercial_shrt fields'!V:V, "Boat Harbors", '[3]Commercial_shrt fields'!AC:AC, 0)</f>
        <v>2</v>
      </c>
      <c r="G58" s="173">
        <f>SUMIFS('[3]Commercial_shrt fields'!AF:AF, '[3]Commercial_shrt fields'!AG:AG, "SLR not in FZ", '[3]Commercial_shrt fields'!V:V, "Boat Harbors", '[3]Commercial_shrt fields'!AC:AC, 0)</f>
        <v>0.38748525071969697</v>
      </c>
      <c r="H58" s="111">
        <v>0</v>
      </c>
      <c r="I58" s="173">
        <v>0</v>
      </c>
      <c r="J58" s="112">
        <v>0</v>
      </c>
      <c r="K58" s="105">
        <v>0</v>
      </c>
      <c r="L58" s="113">
        <f>COUNTIFS('[3]Commercial_shrt fields'!AG:AG, "SLR not in FZ", '[3]Commercial_shrt fields'!V:V, "Boat Harbors", '[3]Commercial_shrt fields'!AC:AC, 3)</f>
        <v>1</v>
      </c>
      <c r="M58" s="105">
        <f>SUMIFS('[3]Commercial_shrt fields'!AF:AF, '[3]Commercial_shrt fields'!AG:AG, "SLR not in FZ", '[3]Commercial_shrt fields'!V:V, "Boat Harbors", '[3]Commercial_shrt fields'!AC:AC, 3)</f>
        <v>2.5310037362029383</v>
      </c>
      <c r="N58" s="113">
        <f>COUNTIFS('[3]Commercial_shrt fields'!AG:AG, "SLR not in FZ", '[3]Commercial_shrt fields'!V:V, "Boat Harbors", '[3]Commercial_shrt fields'!AC:AC, 4)</f>
        <v>0</v>
      </c>
      <c r="O58" s="105">
        <v>0</v>
      </c>
      <c r="P58" s="113">
        <f>COUNTIFS('[3]Commercial_shrt fields'!AG:AG, "SLR not in FZ", '[3]Commercial_shrt fields'!V:V, "Boat Harbors", '[3]Commercial_shrt fields'!AC:AC, 5)</f>
        <v>3</v>
      </c>
      <c r="Q58" s="105">
        <f>SUMIFS('[3]Commercial_shrt fields'!AF:AF, '[3]Commercial_shrt fields'!AG:AG, "SLR not in FZ", '[3]Commercial_shrt fields'!V:V, "Boat Harbors", '[3]Commercial_shrt fields'!AC:AC, 5)</f>
        <v>3.6519911349210283</v>
      </c>
      <c r="R58" s="113">
        <f>COUNTIFS('[3]Commercial_shrt fields'!AG:AG, "SLR not in FZ", '[3]Commercial_shrt fields'!V:V, "Boat Harbors", '[3]Commercial_shrt fields'!AC:AC, 6)</f>
        <v>0</v>
      </c>
      <c r="S58" s="174">
        <v>0</v>
      </c>
      <c r="T58" s="18"/>
    </row>
    <row r="59" spans="1:20">
      <c r="A59" s="178" t="s">
        <v>76</v>
      </c>
      <c r="F59" s="113">
        <v>0</v>
      </c>
      <c r="G59" s="173">
        <v>0</v>
      </c>
      <c r="H59" s="111">
        <v>0</v>
      </c>
      <c r="I59" s="173">
        <v>0</v>
      </c>
      <c r="J59" s="112">
        <v>0</v>
      </c>
      <c r="K59" s="105">
        <v>0</v>
      </c>
      <c r="L59" s="113">
        <v>0</v>
      </c>
      <c r="M59" s="105">
        <v>0</v>
      </c>
      <c r="N59" s="113">
        <f>COUNTIFS('[3]Commercial_shrt fields'!AG:AG, "SLR not in FZ", '[3]Commercial_shrt fields'!V:V, "Commercial stores (not supermarkets)", '[3]Commercial_shrt fields'!AC:AC, 4)</f>
        <v>2</v>
      </c>
      <c r="O59" s="105">
        <f>SUMIFS('[3]Commercial_shrt fields'!AF:AF, '[3]Commercial_shrt fields'!AG:AG, "SLR not in FZ", '[3]Commercial_shrt fields'!V:V, "Commercial stores (not supermarkets)", '[3]Commercial_shrt fields'!AC:AC, 4)</f>
        <v>1.4798833869146006</v>
      </c>
      <c r="P59" s="113">
        <f>COUNTIFS('[3]Commercial_shrt fields'!AG:AG, "SLR not in FZ", '[3]Commercial_shrt fields'!V:V, "Commercial stores (not supermarkets)", '[3]Commercial_shrt fields'!AC:AC, 5)</f>
        <v>2</v>
      </c>
      <c r="Q59" s="105">
        <f>SUMIFS('[3]Commercial_shrt fields'!AF:AF, '[3]Commercial_shrt fields'!AG:AG, "SLR not in FZ", '[3]Commercial_shrt fields'!V:V, "Commercial stores (not supermarkets)", '[3]Commercial_shrt fields'!AC:AC, 5)</f>
        <v>0.16146205484136822</v>
      </c>
      <c r="R59" s="113">
        <f>COUNTIFS('[3]Commercial_shrt fields'!AG:AG, "SLR not in FZ", '[3]Commercial_shrt fields'!V:V, "Commercial stores (not supermarkets)", '[3]Commercial_shrt fields'!AC:AC, 6)</f>
        <v>5</v>
      </c>
      <c r="S59" s="174">
        <f>SUMIFS('[3]Commercial_shrt fields'!AF:AF, '[3]Commercial_shrt fields'!AG:AG, "SLR not in FZ", '[3]Commercial_shrt fields'!V:V, "Commercial stores (not supermarkets)", '[3]Commercial_shrt fields'!AC:AC, 6)</f>
        <v>9.8890164979217179</v>
      </c>
      <c r="T59" s="18"/>
    </row>
    <row r="60" spans="1:20">
      <c r="A60" s="178" t="s">
        <v>77</v>
      </c>
      <c r="F60" s="113">
        <f>COUNTIFS('[3]Commercial_shrt fields'!AG:AG, "SLR not in FZ", '[3]Commercial_shrt fields'!V:V, "Community facilities; recreational; swim pool association", '[3]Commercial_shrt fields'!AC:AC, 0)</f>
        <v>0</v>
      </c>
      <c r="G60" s="173">
        <v>0</v>
      </c>
      <c r="H60" s="111">
        <v>0</v>
      </c>
      <c r="I60" s="173">
        <v>0</v>
      </c>
      <c r="J60" s="112">
        <v>0</v>
      </c>
      <c r="K60" s="105">
        <v>0</v>
      </c>
      <c r="L60" s="113">
        <v>0</v>
      </c>
      <c r="M60" s="105">
        <v>0</v>
      </c>
      <c r="N60" s="113">
        <f>COUNTIFS('[3]Commercial_shrt fields'!AG:AG, "SLR not in FZ", '[3]Commercial_shrt fields'!V:V, "Community facilities; recreational; swim pool association", '[3]Commercial_shrt fields'!AC:AC, 4)</f>
        <v>0</v>
      </c>
      <c r="O60" s="105">
        <v>0</v>
      </c>
      <c r="P60" s="113">
        <f>COUNTIFS('[3]Commercial_shrt fields'!AG:AG, "SLR not in FZ", '[3]Commercial_shrt fields'!V:V, "Community facilities; recreational; swim pool association", '[3]Commercial_shrt fields'!AC:AC, 5)</f>
        <v>0</v>
      </c>
      <c r="Q60" s="105">
        <v>0</v>
      </c>
      <c r="R60" s="113">
        <f>COUNTIFS('[3]Commercial_shrt fields'!AG:AG, "SLR not in FZ", '[3]Commercial_shrt fields'!V:V, "Community facilities; recreational; swim pool association", '[3]Commercial_shrt fields'!AC:AC, 6)</f>
        <v>0</v>
      </c>
      <c r="S60" s="174">
        <v>0</v>
      </c>
      <c r="T60" s="18"/>
    </row>
    <row r="61" spans="1:20">
      <c r="A61" s="178" t="s">
        <v>78</v>
      </c>
      <c r="F61" s="113">
        <f>COUNTIFS('[3]Commercial_shrt fields'!AG:AG, "SLR not in FZ", '[3]Commercial_shrt fields'!V:V, "Drive-in restaurants (hamburger, taco, etc.)", '[3]Commercial_shrt fields'!AC:AC, 0)</f>
        <v>0</v>
      </c>
      <c r="G61" s="173">
        <v>0</v>
      </c>
      <c r="H61" s="111">
        <v>0</v>
      </c>
      <c r="I61" s="173">
        <v>0</v>
      </c>
      <c r="J61" s="112">
        <v>0</v>
      </c>
      <c r="K61" s="105">
        <v>0</v>
      </c>
      <c r="L61" s="113">
        <v>0</v>
      </c>
      <c r="M61" s="105">
        <v>0</v>
      </c>
      <c r="N61" s="113">
        <f>COUNTIFS('[3]Commercial_shrt fields'!AG:AG, "SLR not in FZ", '[3]Commercial_shrt fields'!V:V, "Drive-in restaurants (hamburger, taco, etc.)", '[3]Commercial_shrt fields'!AC:AC, 4)</f>
        <v>1</v>
      </c>
      <c r="O61" s="179">
        <f>SUMIFS('[3]Commercial_shrt fields'!AF:AF, '[3]Commercial_shrt fields'!AG:AG, "SLR not in FZ", '[3]Commercial_shrt fields'!V:V, "Drive-in restaurants (hamburger, taco, etc.)", '[3]Commercial_shrt fields'!AC:AC, 4)</f>
        <v>0.9601360223576676</v>
      </c>
      <c r="P61" s="113">
        <f>COUNTIFS('[3]Commercial_shrt fields'!AG:AG, "SLR not in FZ", '[3]Commercial_shrt fields'!V:V, "Drive-in restaurants (hamburger, taco, etc.)", '[3]Commercial_shrt fields'!AC:AC, 5)</f>
        <v>0</v>
      </c>
      <c r="Q61" s="105">
        <v>0</v>
      </c>
      <c r="R61" s="113">
        <f>COUNTIFS('[3]Commercial_shrt fields'!AG:AG, "SLR not in FZ", '[3]Commercial_shrt fields'!V:V, "Drive-in restaurants (hamburger, taco, etc.)", '[3]Commercial_shrt fields'!AC:AC, 6)</f>
        <v>0</v>
      </c>
      <c r="S61" s="174">
        <v>0</v>
      </c>
      <c r="T61" s="18"/>
    </row>
    <row r="62" spans="1:20">
      <c r="A62" s="178" t="s">
        <v>79</v>
      </c>
      <c r="F62" s="113">
        <f>COUNTIFS('[3]Commercial_shrt fields'!AG:AG, "SLR not in FZ", '[3]Commercial_shrt fields'!V:V, "Financial buildings (insurance and title companies, banks, savings and loans", '[3]Commercial_shrt fields'!AC:AC, 0)</f>
        <v>0</v>
      </c>
      <c r="G62" s="173">
        <v>0</v>
      </c>
      <c r="H62" s="111">
        <v>0</v>
      </c>
      <c r="I62" s="173">
        <v>0</v>
      </c>
      <c r="J62" s="112">
        <v>0</v>
      </c>
      <c r="K62" s="105">
        <v>0</v>
      </c>
      <c r="L62" s="113">
        <v>0</v>
      </c>
      <c r="M62" s="105">
        <v>0</v>
      </c>
      <c r="N62" s="113">
        <f>COUNTIFS('[3]Commercial_shrt fields'!AG:AG, "SLR not in FZ", '[3]Commercial_shrt fields'!V:V, "Financial buildings (insurance and title companies, banks, savings and loans", '[3]Commercial_shrt fields'!AC:AC, 4)</f>
        <v>0</v>
      </c>
      <c r="O62" s="105">
        <v>0</v>
      </c>
      <c r="P62" s="112">
        <f>COUNTIFS('[3]Commercial_shrt fields'!AG:AG, "SLR not in FZ", '[3]Commercial_shrt fields'!V:V, "Financial buildings (insurance and title companies, banks, savings and loans", '[3]Commercial_shrt fields'!AC:AC, 5)</f>
        <v>0</v>
      </c>
      <c r="Q62" s="105">
        <v>0</v>
      </c>
      <c r="R62" s="112">
        <f>COUNTIFS('[3]Commercial_shrt fields'!AG:AG, "SLR not in FZ", '[3]Commercial_shrt fields'!V:V, "Financial buildings (insurance and title companies, banks, savings and loans", '[3]Commercial_shrt fields'!AC:AC, 6)</f>
        <v>0</v>
      </c>
      <c r="S62" s="174">
        <v>0</v>
      </c>
      <c r="T62" s="18"/>
    </row>
    <row r="63" spans="1:20">
      <c r="A63" s="178" t="s">
        <v>80</v>
      </c>
      <c r="F63" s="113">
        <f>COUNTIFS('[3]Commercial_shrt fields'!AG:AG, "SLR not in FZ", '[3]Commercial_shrt fields'!V:V, "Medical; dental", '[3]Commercial_shrt fields'!AC:AC, 0)</f>
        <v>0</v>
      </c>
      <c r="G63" s="173">
        <v>0</v>
      </c>
      <c r="H63" s="111">
        <v>0</v>
      </c>
      <c r="I63" s="173">
        <v>0</v>
      </c>
      <c r="J63" s="112">
        <v>0</v>
      </c>
      <c r="K63" s="105">
        <v>0</v>
      </c>
      <c r="L63" s="113">
        <v>0</v>
      </c>
      <c r="M63" s="105">
        <v>0</v>
      </c>
      <c r="N63" s="113">
        <f>COUNTIFS('[3]Commercial_shrt fields'!AG:AG, "SLR not in FZ", '[3]Commercial_shrt fields'!V:V, "Medical; dental", '[3]Commercial_shrt fields'!AC:AC, 4)</f>
        <v>0</v>
      </c>
      <c r="O63" s="105">
        <v>0</v>
      </c>
      <c r="P63" s="112">
        <f>COUNTIFS('[3]Commercial_shrt fields'!AG:AG, "SLR not in FZ", '[3]Commercial_shrt fields'!V:V, "Medical; dental", '[3]Commercial_shrt fields'!AC:AC, 5)</f>
        <v>0</v>
      </c>
      <c r="Q63" s="105">
        <v>0</v>
      </c>
      <c r="R63" s="112">
        <f>COUNTIFS('[3]Commercial_shrt fields'!AG:AG, "SLR not in FZ", '[3]Commercial_shrt fields'!V:V, "Medical; dental", '[3]Commercial_shrt fields'!AC:AC, 6)</f>
        <v>0</v>
      </c>
      <c r="S63" s="174">
        <v>0</v>
      </c>
      <c r="T63" s="18"/>
    </row>
    <row r="64" spans="1:20">
      <c r="A64" s="178" t="s">
        <v>81</v>
      </c>
      <c r="F64" s="113">
        <f>COUNTIFS('[3]Commercial_shrt fields'!AG:AG, "SLR not in FZ", '[3]Commercial_shrt fields'!V:V, "Motels, hotels, and mobile home parks", '[3]Commercial_shrt fields'!AC:AC, 0)</f>
        <v>0</v>
      </c>
      <c r="G64" s="173">
        <v>0</v>
      </c>
      <c r="H64" s="111">
        <v>0</v>
      </c>
      <c r="I64" s="173">
        <v>0</v>
      </c>
      <c r="J64" s="112">
        <v>0</v>
      </c>
      <c r="K64" s="105">
        <v>0</v>
      </c>
      <c r="L64" s="113">
        <v>0</v>
      </c>
      <c r="M64" s="105">
        <v>0</v>
      </c>
      <c r="N64" s="113">
        <f>COUNTIFS('[3]Commercial_shrt fields'!AG:AG, "SLR not in FZ", '[3]Commercial_shrt fields'!V:V, "Motels, hotels, and mobile home parks", '[3]Commercial_shrt fields'!AC:AC, 4)</f>
        <v>1</v>
      </c>
      <c r="O64" s="105">
        <f>SUMIFS('[3]Commercial_shrt fields'!AF:AF, '[3]Commercial_shrt fields'!AG:AG, "SLR not in FZ", '[3]Commercial_shrt fields'!V:V, "Motels, hotels, and mobile home parks", '[3]Commercial_shrt fields'!AC:AC, 4)</f>
        <v>3.2534096203168046</v>
      </c>
      <c r="P64" s="112">
        <f>COUNTIFS('[3]Commercial_shrt fields'!AG:AG, "SLR not in FZ", '[3]Commercial_shrt fields'!V:V, "Motels, hotels, and mobile home parks", '[3]Commercial_shrt fields'!AC:AC, 5)</f>
        <v>0</v>
      </c>
      <c r="Q64" s="105">
        <v>0</v>
      </c>
      <c r="R64" s="112">
        <f>COUNTIFS('[3]Commercial_shrt fields'!AG:AG, "SLR not in FZ", '[3]Commercial_shrt fields'!V:V, "Motels, hotels, and mobile home parks", '[3]Commercial_shrt fields'!AC:AC, 6)</f>
        <v>0</v>
      </c>
      <c r="S64" s="174">
        <v>0</v>
      </c>
      <c r="T64" s="18"/>
    </row>
    <row r="65" spans="1:20">
      <c r="A65" s="178" t="s">
        <v>82</v>
      </c>
      <c r="F65" s="113">
        <f>COUNTIFS('[3]Commercial_shrt fields'!AG:AG, "SLR not in FZ", '[3]Commercial_shrt fields'!V:V, "Multiple and commercial; miscellaneously improved", '[3]Commercial_shrt fields'!AC:AC, 0)</f>
        <v>0</v>
      </c>
      <c r="G65" s="173">
        <v>0</v>
      </c>
      <c r="H65" s="111">
        <v>0</v>
      </c>
      <c r="I65" s="173">
        <v>0</v>
      </c>
      <c r="J65" s="112">
        <v>0</v>
      </c>
      <c r="K65" s="105">
        <v>0</v>
      </c>
      <c r="L65" s="113">
        <v>0</v>
      </c>
      <c r="M65" s="105">
        <v>0</v>
      </c>
      <c r="N65" s="113">
        <f>COUNTIFS('[3]Commercial_shrt fields'!AG:AG, "SLR not in FZ", '[3]Commercial_shrt fields'!V:V, "Multiple and commercial; miscellaneously improved", '[3]Commercial_shrt fields'!AC:AC, 4)</f>
        <v>0</v>
      </c>
      <c r="O65" s="105">
        <v>0</v>
      </c>
      <c r="P65" s="112">
        <f>COUNTIFS('[3]Commercial_shrt fields'!AG:AG, "SLR not in FZ", '[3]Commercial_shrt fields'!V:V, "Multiple and commercial; miscellaneously improved", '[3]Commercial_shrt fields'!AC:AC, 5)</f>
        <v>2</v>
      </c>
      <c r="Q65" s="105">
        <f>SUMIFS('[3]Commercial_shrt fields'!AF:AF, '[3]Commercial_shrt fields'!AG:AG, "SLR not in FZ", '[3]Commercial_shrt fields'!V:V, "Multiple and commercial; miscellaneously improved", '[3]Commercial_shrt fields'!AC:AC, 5)</f>
        <v>0.46837960476859508</v>
      </c>
      <c r="R65" s="112">
        <f>COUNTIFS('[3]Commercial_shrt fields'!AG:AG, "SLR not in FZ", '[3]Commercial_shrt fields'!V:V, "Multiple and commercial; miscellaneously improved", '[3]Commercial_shrt fields'!AC:AC, 6)</f>
        <v>0</v>
      </c>
      <c r="S65" s="174">
        <v>0</v>
      </c>
      <c r="T65" s="18"/>
    </row>
    <row r="66" spans="1:20">
      <c r="A66" s="178" t="s">
        <v>83</v>
      </c>
      <c r="F66" s="113">
        <f>COUNTIFS('[3]Commercial_shrt fields'!AG:AG, "SLR not in FZ", '[3]Commercial_shrt fields'!V:V, "New car auto agencies", '[3]Commercial_shrt fields'!AC:AC, 0)</f>
        <v>0</v>
      </c>
      <c r="G66" s="173">
        <v>0</v>
      </c>
      <c r="H66" s="111">
        <v>0</v>
      </c>
      <c r="I66" s="173">
        <v>0</v>
      </c>
      <c r="J66" s="112">
        <v>0</v>
      </c>
      <c r="K66" s="105">
        <v>0</v>
      </c>
      <c r="L66" s="113">
        <v>0</v>
      </c>
      <c r="M66" s="105">
        <v>0</v>
      </c>
      <c r="N66" s="113">
        <f>COUNTIFS('[3]Commercial_shrt fields'!AG:AG, "SLR not in FZ", '[3]Commercial_shrt fields'!V:V, "New car auto agencies", '[3]Commercial_shrt fields'!AC:AC, 4)</f>
        <v>0</v>
      </c>
      <c r="O66" s="105">
        <v>0</v>
      </c>
      <c r="P66" s="112">
        <f>COUNTIFS('[3]Commercial_shrt fields'!AG:AG, "SLR not in FZ", '[3]Commercial_shrt fields'!V:V, "New car auto agencies", '[3]Commercial_shrt fields'!AC:AC, 5)</f>
        <v>0</v>
      </c>
      <c r="Q66" s="105">
        <v>0</v>
      </c>
      <c r="R66" s="112">
        <f>COUNTIFS('[3]Commercial_shrt fields'!AG:AG, "SLR not in FZ", '[3]Commercial_shrt fields'!V:V, "New car auto agencies", '[3]Commercial_shrt fields'!AC:AC, 6)</f>
        <v>0</v>
      </c>
      <c r="S66" s="174">
        <v>0</v>
      </c>
      <c r="T66" s="18"/>
    </row>
    <row r="67" spans="1:20">
      <c r="A67" s="178" t="s">
        <v>84</v>
      </c>
      <c r="F67" s="113">
        <f>COUNTIFS('[3]Commercial_shrt fields'!AG:AG, "SLR not in FZ", '[3]Commercial_shrt fields'!V:V, "Office buildings", '[3]Commercial_shrt fields'!AC:AC, 0)</f>
        <v>0</v>
      </c>
      <c r="G67" s="173">
        <v>0</v>
      </c>
      <c r="H67" s="111">
        <v>0</v>
      </c>
      <c r="I67" s="173">
        <v>0</v>
      </c>
      <c r="J67" s="112">
        <v>0</v>
      </c>
      <c r="K67" s="105">
        <v>0</v>
      </c>
      <c r="L67" s="113">
        <v>0</v>
      </c>
      <c r="M67" s="105">
        <v>0</v>
      </c>
      <c r="N67" s="113">
        <f>COUNTIFS('[3]Commercial_shrt fields'!AG:AG, "SLR not in FZ", '[3]Commercial_shrt fields'!V:V, "Office buildings", '[3]Commercial_shrt fields'!AC:AC, 4)</f>
        <v>0</v>
      </c>
      <c r="O67" s="105">
        <v>0</v>
      </c>
      <c r="P67" s="112">
        <f>COUNTIFS('[3]Commercial_shrt fields'!AG:AG, "SLR not in FZ", '[3]Commercial_shrt fields'!V:V, "Office buildings", '[3]Commercial_shrt fields'!AC:AC, 5)</f>
        <v>2</v>
      </c>
      <c r="Q67" s="105">
        <f>SUMIFS('[3]Commercial_shrt fields'!AF:AF, '[3]Commercial_shrt fields'!AG:AG, "SLR not in FZ", '[3]Commercial_shrt fields'!V:V, "Office buildings", '[3]Commercial_shrt fields'!AC:AC, 5)</f>
        <v>0.21224368812144168</v>
      </c>
      <c r="R67" s="112">
        <f>COUNTIFS('[3]Commercial_shrt fields'!AG:AG, "SLR not in FZ", '[3]Commercial_shrt fields'!V:V, "Office buildings", '[3]Commercial_shrt fields'!AC:AC, 6)</f>
        <v>3</v>
      </c>
      <c r="S67" s="174">
        <f>SUMIFS('[3]Commercial_shrt fields'!AF:AF, '[3]Commercial_shrt fields'!AG:AG, "SLR not in FZ", '[3]Commercial_shrt fields'!V:V, "Office buildings", '[3]Commercial_shrt fields'!AC:AC, 6)</f>
        <v>4.9424345214745182</v>
      </c>
      <c r="T67" s="18"/>
    </row>
    <row r="68" spans="1:20">
      <c r="A68" s="178" t="s">
        <v>85</v>
      </c>
      <c r="F68" s="113">
        <f>COUNTIFS('[3]Commercial_shrt fields'!AG:AG, "SLR not in FZ", '[3]Commercial_shrt fields'!V:V, "Restaurants (not drive-in; inside service only)", '[3]Commercial_shrt fields'!AC:AC, 0)</f>
        <v>0</v>
      </c>
      <c r="G68" s="173">
        <v>0</v>
      </c>
      <c r="H68" s="111">
        <v>0</v>
      </c>
      <c r="I68" s="173">
        <v>0</v>
      </c>
      <c r="J68" s="112">
        <v>0</v>
      </c>
      <c r="K68" s="105">
        <v>0</v>
      </c>
      <c r="L68" s="113">
        <v>0</v>
      </c>
      <c r="M68" s="105">
        <v>0</v>
      </c>
      <c r="N68" s="113">
        <f>COUNTIFS('[3]Commercial_shrt fields'!AG:AG, "SLR not in FZ", '[3]Commercial_shrt fields'!V:V, "Restaurants (not drive-in; inside service only)", '[3]Commercial_shrt fields'!AC:AC, 4)</f>
        <v>0</v>
      </c>
      <c r="O68" s="105">
        <v>0</v>
      </c>
      <c r="P68" s="112">
        <f>COUNTIFS('[3]Commercial_shrt fields'!AG:AG, "SLR not in FZ", '[3]Commercial_shrt fields'!V:V, "Restaurants (not drive-in; inside service only)", '[3]Commercial_shrt fields'!AC:AC, 5)</f>
        <v>1</v>
      </c>
      <c r="Q68" s="105">
        <f>SUMIFS('[3]Commercial_shrt fields'!AF:AF, '[3]Commercial_shrt fields'!AG:AG, "SLR not in FZ", '[3]Commercial_shrt fields'!V:V, "Restaurants (not drive-in; inside service only)", '[3]Commercial_shrt fields'!AC:AC, 5)</f>
        <v>1.0119935416528925</v>
      </c>
      <c r="R68" s="112">
        <f>COUNTIFS('[3]Commercial_shrt fields'!AG:AG, "SLR not in FZ", '[3]Commercial_shrt fields'!V:V, "Restaurants (not drive-in; inside service only)", '[3]Commercial_shrt fields'!AC:AC, 6)</f>
        <v>1</v>
      </c>
      <c r="S68" s="174">
        <f>SUMIFS('[3]Commercial_shrt fields'!AF:AF, '[3]Commercial_shrt fields'!AG:AG, "SLR not in FZ", '[3]Commercial_shrt fields'!V:V, "Restaurants (not drive-in; inside service only)", '[3]Commercial_shrt fields'!AC:AC, 6)</f>
        <v>0.20821947792493112</v>
      </c>
      <c r="T68" s="18"/>
    </row>
    <row r="69" spans="1:20">
      <c r="A69" s="178" t="s">
        <v>86</v>
      </c>
      <c r="F69" s="113">
        <f>COUNTIFS('[3]Commercial_shrt fields'!AG:AG, "SLR not in FZ", '[3]Commercial_shrt fields'!V:V, "Service stations; car washes; bulk plants; mini lube", '[3]Commercial_shrt fields'!AC:AC, 0)</f>
        <v>0</v>
      </c>
      <c r="G69" s="173">
        <v>0</v>
      </c>
      <c r="H69" s="111">
        <v>0</v>
      </c>
      <c r="I69" s="173">
        <v>0</v>
      </c>
      <c r="J69" s="112">
        <v>0</v>
      </c>
      <c r="K69" s="105">
        <v>0</v>
      </c>
      <c r="L69" s="113">
        <v>0</v>
      </c>
      <c r="M69" s="105">
        <v>0</v>
      </c>
      <c r="N69" s="113">
        <f>COUNTIFS('[3]Commercial_shrt fields'!AG:AG, "SLR not in FZ", '[3]Commercial_shrt fields'!V:V, "Auto repair", '[3]Commercial_shrt fields'!AC:AC, 4)</f>
        <v>1</v>
      </c>
      <c r="O69" s="105">
        <f>SUMIFS('[3]Commercial_shrt fields'!AF:AF, '[3]Commercial_shrt fields'!AG:AG, "SLR not in FZ", '[3]Commercial_shrt fields'!V:V, "Service stations; car washes; bulk plants; mini lube", '[3]Commercial_shrt fields'!AC:AC, 4)</f>
        <v>0.45628275676767677</v>
      </c>
      <c r="P69" s="112">
        <f>COUNTIFS('[3]Commercial_shrt fields'!AG:AG, "SLR not in FZ", '[3]Commercial_shrt fields'!V:V, "Service stations; car washes; bulk plants; mini lube", '[3]Commercial_shrt fields'!AC:AC, 5)</f>
        <v>0</v>
      </c>
      <c r="Q69" s="105">
        <v>0</v>
      </c>
      <c r="R69" s="112">
        <f>COUNTIFS('[3]Commercial_shrt fields'!AG:AG, "SLR not in FZ", '[3]Commercial_shrt fields'!V:V, "Service stations; car washes; bulk plants; mini lube", '[3]Commercial_shrt fields'!AC:AC, 6)</f>
        <v>0</v>
      </c>
      <c r="S69" s="174">
        <v>0</v>
      </c>
      <c r="T69" s="18"/>
    </row>
    <row r="70" spans="1:20">
      <c r="A70" s="178" t="s">
        <v>87</v>
      </c>
      <c r="F70" s="113">
        <f>COUNTIFS('[3]Commercial_shrt fields'!AG:AG, "SLR not in FZ", '[3]Commercial_shrt fields'!V:V, "Auto repair", '[3]Commercial_shrt fields'!AC:AC, 0)</f>
        <v>0</v>
      </c>
      <c r="G70" s="173">
        <v>0</v>
      </c>
      <c r="H70" s="111">
        <v>0</v>
      </c>
      <c r="I70" s="173">
        <v>0</v>
      </c>
      <c r="J70" s="112">
        <v>0</v>
      </c>
      <c r="K70" s="105">
        <v>0</v>
      </c>
      <c r="L70" s="113">
        <v>0</v>
      </c>
      <c r="M70" s="105">
        <v>0</v>
      </c>
      <c r="N70" s="113">
        <f>COUNTIFS('[3]Commercial_shrt fields'!AG:AG, "SLR not in FZ", '[3]Commercial_shrt fields'!V:V, "Shopping centers (all parcels include vacant for future shopping center)", '[3]Commercial_shrt fields'!AC:AC, 4)</f>
        <v>0</v>
      </c>
      <c r="O70" s="105">
        <v>0</v>
      </c>
      <c r="P70" s="112">
        <f>COUNTIFS('[3]Commercial_shrt fields'!AG:AG, "SLR not in FZ", '[3]Commercial_shrt fields'!V:V, "Shopping centers (all parcels include vacant for future shopping center)", '[3]Commercial_shrt fields'!AC:AC, 5)</f>
        <v>0</v>
      </c>
      <c r="Q70" s="105">
        <v>0</v>
      </c>
      <c r="R70" s="112">
        <f>COUNTIFS('[3]Commercial_shrt fields'!AG:AG, "SLR not in FZ", '[3]Commercial_shrt fields'!V:V, "Shopping centers (all parcels include vacant for future shopping center)", '[3]Commercial_shrt fields'!AC:AC, 6)</f>
        <v>0</v>
      </c>
      <c r="S70" s="174">
        <v>0</v>
      </c>
      <c r="T70" s="18"/>
    </row>
    <row r="71" spans="1:20">
      <c r="A71" s="178" t="s">
        <v>88</v>
      </c>
      <c r="F71" s="113">
        <f>COUNTIFS('[3]Commercial_shrt fields'!AG:AG, "SLR not in FZ", '[3]Commercial_shrt fields'!V:V, "Auto repair", '[3]Commercial_shrt fields'!AC:AC, 0)</f>
        <v>0</v>
      </c>
      <c r="G71" s="173">
        <v>0</v>
      </c>
      <c r="H71" s="111">
        <v>0</v>
      </c>
      <c r="I71" s="173">
        <v>0</v>
      </c>
      <c r="J71" s="112">
        <v>0</v>
      </c>
      <c r="K71" s="105">
        <v>0</v>
      </c>
      <c r="L71" s="113">
        <v>0</v>
      </c>
      <c r="M71" s="105">
        <v>0</v>
      </c>
      <c r="N71" s="113">
        <f>COUNTIFS('[3]Commercial_shrt fields'!AG:AG, "SLR not in FZ", '[3]Commercial_shrt fields'!V:V, "Vacant", '[3]Commercial_shrt fields'!AC:AC, 4)</f>
        <v>1</v>
      </c>
      <c r="O71" s="105">
        <f>SUMIFS('[3]Commercial_shrt fields'!AF:AF, '[3]Commercial_shrt fields'!AG:AG, "SLR not in FZ", '[3]Commercial_shrt fields'!V:V, "Vacant", '[3]Commercial_shrt fields'!AC:AC, 4)</f>
        <v>0.11684533622245179</v>
      </c>
      <c r="P71" s="112">
        <f>COUNTIFS('[3]Commercial_shrt fields'!AG:AG, "SLR not in FZ", '[3]Commercial_shrt fields'!V:V, "Vacant", '[3]Commercial_shrt fields'!AC:AC, 5)</f>
        <v>3</v>
      </c>
      <c r="Q71" s="105">
        <f>SUMIFS('[3]Commercial_shrt fields'!AF:AF, '[3]Commercial_shrt fields'!AG:AG, "SLR not in FZ", '[3]Commercial_shrt fields'!V:V, "Vacant", '[3]Commercial_shrt fields'!AC:AC, 5)</f>
        <v>0.5082978616769972</v>
      </c>
      <c r="R71" s="112">
        <f>COUNTIFS('[3]Commercial_shrt fields'!AG:AG, "SLR not in FZ", '[3]Commercial_shrt fields'!V:V, "Vacant", '[3]Commercial_shrt fields'!AC:AC, 6)</f>
        <v>3</v>
      </c>
      <c r="S71" s="174">
        <f>SUMIFS('[3]Commercial_shrt fields'!AF:AF, '[3]Commercial_shrt fields'!AG:AG, "SLR not in FZ", '[3]Commercial_shrt fields'!V:V, "Vacant", '[3]Commercial_shrt fields'!AC:AC, 6)</f>
        <v>7.2864424714761249</v>
      </c>
      <c r="T71" s="18"/>
    </row>
    <row r="72" spans="1:20">
      <c r="A72" s="180" t="s">
        <v>19</v>
      </c>
      <c r="F72" s="116">
        <f>SUM(F57:F71)</f>
        <v>2</v>
      </c>
      <c r="G72" s="181">
        <f t="shared" ref="G72:S72" si="4">SUM(G57:G71)</f>
        <v>0.38748525071969697</v>
      </c>
      <c r="H72" s="116">
        <f t="shared" si="4"/>
        <v>0</v>
      </c>
      <c r="I72" s="181">
        <f t="shared" si="4"/>
        <v>0</v>
      </c>
      <c r="J72" s="116">
        <f t="shared" si="4"/>
        <v>0</v>
      </c>
      <c r="K72" s="115">
        <f t="shared" si="4"/>
        <v>0</v>
      </c>
      <c r="L72" s="116">
        <f t="shared" si="4"/>
        <v>1</v>
      </c>
      <c r="M72" s="115">
        <f t="shared" si="4"/>
        <v>2.5310037362029383</v>
      </c>
      <c r="N72" s="116">
        <f t="shared" si="4"/>
        <v>7</v>
      </c>
      <c r="O72" s="115">
        <f t="shared" si="4"/>
        <v>7.1358384512867312</v>
      </c>
      <c r="P72" s="116">
        <f t="shared" si="4"/>
        <v>14</v>
      </c>
      <c r="Q72" s="115">
        <f t="shared" si="4"/>
        <v>6.8685329314850776</v>
      </c>
      <c r="R72" s="116">
        <f t="shared" si="4"/>
        <v>12</v>
      </c>
      <c r="S72" s="182">
        <f t="shared" si="4"/>
        <v>22.326112968797293</v>
      </c>
      <c r="T72" s="18"/>
    </row>
    <row r="73" spans="1:20">
      <c r="F73" s="4"/>
      <c r="G73" s="139"/>
      <c r="I73" s="139"/>
      <c r="J73" s="60"/>
      <c r="O73" s="2"/>
      <c r="S73" s="140"/>
    </row>
    <row r="74" spans="1:20">
      <c r="F74" s="4"/>
      <c r="G74" s="139"/>
      <c r="I74" s="139"/>
      <c r="J74" s="60"/>
      <c r="O74" s="2"/>
      <c r="S74" s="140"/>
    </row>
    <row r="75" spans="1:20">
      <c r="A75" s="35" t="s">
        <v>20</v>
      </c>
      <c r="F75" s="4"/>
      <c r="G75" s="139"/>
      <c r="I75" s="139"/>
      <c r="J75" s="60"/>
      <c r="O75" s="2"/>
      <c r="S75" s="140"/>
    </row>
    <row r="76" spans="1:20">
      <c r="A76" s="38"/>
      <c r="F76" s="4"/>
      <c r="G76" s="139"/>
      <c r="H76" s="106" t="s">
        <v>57</v>
      </c>
      <c r="I76" s="173"/>
      <c r="J76" s="107" t="s">
        <v>58</v>
      </c>
      <c r="K76" s="105"/>
      <c r="L76" s="106" t="s">
        <v>59</v>
      </c>
      <c r="M76" s="105"/>
      <c r="N76" s="106" t="s">
        <v>60</v>
      </c>
      <c r="O76" s="105"/>
      <c r="P76" s="106" t="s">
        <v>61</v>
      </c>
      <c r="Q76" s="105"/>
      <c r="R76" s="106" t="s">
        <v>62</v>
      </c>
      <c r="S76" s="174"/>
    </row>
    <row r="77" spans="1:20">
      <c r="A77" s="38"/>
      <c r="F77" s="4"/>
      <c r="G77" s="139"/>
      <c r="H77" s="118" t="s">
        <v>50</v>
      </c>
      <c r="I77" s="175" t="s">
        <v>51</v>
      </c>
      <c r="J77" s="110" t="s">
        <v>50</v>
      </c>
      <c r="K77" s="109" t="s">
        <v>51</v>
      </c>
      <c r="L77" s="108" t="s">
        <v>50</v>
      </c>
      <c r="M77" s="109" t="s">
        <v>51</v>
      </c>
      <c r="N77" s="108" t="s">
        <v>50</v>
      </c>
      <c r="O77" s="109" t="s">
        <v>51</v>
      </c>
      <c r="P77" s="108" t="s">
        <v>50</v>
      </c>
      <c r="Q77" s="109" t="s">
        <v>51</v>
      </c>
      <c r="R77" s="108" t="s">
        <v>50</v>
      </c>
      <c r="S77" s="176" t="s">
        <v>51</v>
      </c>
    </row>
    <row r="78" spans="1:20">
      <c r="A78" s="177" t="s">
        <v>74</v>
      </c>
      <c r="F78" s="4"/>
      <c r="G78" s="139"/>
      <c r="H78" s="113">
        <f>H57+F57</f>
        <v>0</v>
      </c>
      <c r="I78" s="173">
        <f>I57+G57</f>
        <v>0</v>
      </c>
      <c r="J78" s="112">
        <f t="shared" ref="J78:S92" si="5">J57+H78</f>
        <v>0</v>
      </c>
      <c r="K78" s="105">
        <f t="shared" si="5"/>
        <v>0</v>
      </c>
      <c r="L78" s="113">
        <f t="shared" si="5"/>
        <v>0</v>
      </c>
      <c r="M78" s="105">
        <f t="shared" si="5"/>
        <v>0</v>
      </c>
      <c r="N78" s="113">
        <f t="shared" si="5"/>
        <v>1</v>
      </c>
      <c r="O78" s="105">
        <f t="shared" si="5"/>
        <v>0.86928132870752983</v>
      </c>
      <c r="P78" s="113">
        <f t="shared" si="5"/>
        <v>2</v>
      </c>
      <c r="Q78" s="105">
        <f t="shared" si="5"/>
        <v>1.7234463742102846</v>
      </c>
      <c r="R78" s="113">
        <f t="shared" si="5"/>
        <v>2</v>
      </c>
      <c r="S78" s="174">
        <f t="shared" si="5"/>
        <v>1.7234463742102846</v>
      </c>
    </row>
    <row r="79" spans="1:20">
      <c r="A79" s="178" t="s">
        <v>75</v>
      </c>
      <c r="F79" s="4"/>
      <c r="G79" s="139"/>
      <c r="H79" s="113">
        <f t="shared" ref="H79:I92" si="6">H58+F58</f>
        <v>2</v>
      </c>
      <c r="I79" s="173">
        <f t="shared" si="6"/>
        <v>0.38748525071969697</v>
      </c>
      <c r="J79" s="112">
        <f t="shared" si="5"/>
        <v>2</v>
      </c>
      <c r="K79" s="105">
        <f t="shared" si="5"/>
        <v>0.38748525071969697</v>
      </c>
      <c r="L79" s="113">
        <f t="shared" si="5"/>
        <v>3</v>
      </c>
      <c r="M79" s="105">
        <f t="shared" si="5"/>
        <v>2.9184889869226351</v>
      </c>
      <c r="N79" s="113">
        <f t="shared" si="5"/>
        <v>3</v>
      </c>
      <c r="O79" s="105">
        <f t="shared" si="5"/>
        <v>2.9184889869226351</v>
      </c>
      <c r="P79" s="113">
        <f t="shared" si="5"/>
        <v>6</v>
      </c>
      <c r="Q79" s="105">
        <f t="shared" si="5"/>
        <v>6.5704801218436639</v>
      </c>
      <c r="R79" s="113">
        <f t="shared" si="5"/>
        <v>6</v>
      </c>
      <c r="S79" s="174">
        <f t="shared" si="5"/>
        <v>6.5704801218436639</v>
      </c>
    </row>
    <row r="80" spans="1:20">
      <c r="A80" s="178" t="s">
        <v>76</v>
      </c>
      <c r="F80" s="4"/>
      <c r="G80" s="139"/>
      <c r="H80" s="113">
        <f t="shared" si="6"/>
        <v>0</v>
      </c>
      <c r="I80" s="173">
        <f t="shared" si="6"/>
        <v>0</v>
      </c>
      <c r="J80" s="112">
        <f t="shared" si="5"/>
        <v>0</v>
      </c>
      <c r="K80" s="105">
        <f t="shared" si="5"/>
        <v>0</v>
      </c>
      <c r="L80" s="113">
        <f t="shared" si="5"/>
        <v>0</v>
      </c>
      <c r="M80" s="105">
        <f t="shared" si="5"/>
        <v>0</v>
      </c>
      <c r="N80" s="113">
        <f t="shared" si="5"/>
        <v>2</v>
      </c>
      <c r="O80" s="105">
        <f t="shared" si="5"/>
        <v>1.4798833869146006</v>
      </c>
      <c r="P80" s="113">
        <f t="shared" si="5"/>
        <v>4</v>
      </c>
      <c r="Q80" s="105">
        <f t="shared" si="5"/>
        <v>1.641345441755969</v>
      </c>
      <c r="R80" s="113">
        <f t="shared" si="5"/>
        <v>9</v>
      </c>
      <c r="S80" s="174">
        <f t="shared" si="5"/>
        <v>11.530361939677686</v>
      </c>
    </row>
    <row r="81" spans="1:19">
      <c r="A81" s="178" t="s">
        <v>77</v>
      </c>
      <c r="F81" s="4"/>
      <c r="G81" s="139"/>
      <c r="H81" s="113">
        <f t="shared" si="6"/>
        <v>0</v>
      </c>
      <c r="I81" s="173">
        <f t="shared" si="6"/>
        <v>0</v>
      </c>
      <c r="J81" s="112">
        <f t="shared" si="5"/>
        <v>0</v>
      </c>
      <c r="K81" s="105">
        <f t="shared" si="5"/>
        <v>0</v>
      </c>
      <c r="L81" s="113">
        <f t="shared" si="5"/>
        <v>0</v>
      </c>
      <c r="M81" s="105">
        <f t="shared" si="5"/>
        <v>0</v>
      </c>
      <c r="N81" s="113">
        <f t="shared" si="5"/>
        <v>0</v>
      </c>
      <c r="O81" s="105">
        <f t="shared" si="5"/>
        <v>0</v>
      </c>
      <c r="P81" s="113">
        <f t="shared" si="5"/>
        <v>0</v>
      </c>
      <c r="Q81" s="105">
        <f t="shared" si="5"/>
        <v>0</v>
      </c>
      <c r="R81" s="113">
        <f t="shared" si="5"/>
        <v>0</v>
      </c>
      <c r="S81" s="174">
        <f t="shared" si="5"/>
        <v>0</v>
      </c>
    </row>
    <row r="82" spans="1:19">
      <c r="A82" s="178" t="s">
        <v>78</v>
      </c>
      <c r="F82" s="4"/>
      <c r="G82" s="139"/>
      <c r="H82" s="113">
        <f t="shared" si="6"/>
        <v>0</v>
      </c>
      <c r="I82" s="173">
        <f t="shared" si="6"/>
        <v>0</v>
      </c>
      <c r="J82" s="112">
        <f t="shared" si="5"/>
        <v>0</v>
      </c>
      <c r="K82" s="105">
        <f t="shared" si="5"/>
        <v>0</v>
      </c>
      <c r="L82" s="113">
        <f t="shared" si="5"/>
        <v>0</v>
      </c>
      <c r="M82" s="105">
        <f t="shared" si="5"/>
        <v>0</v>
      </c>
      <c r="N82" s="113">
        <f t="shared" si="5"/>
        <v>1</v>
      </c>
      <c r="O82" s="105">
        <f t="shared" si="5"/>
        <v>0.9601360223576676</v>
      </c>
      <c r="P82" s="113">
        <f t="shared" si="5"/>
        <v>1</v>
      </c>
      <c r="Q82" s="105">
        <f t="shared" si="5"/>
        <v>0.9601360223576676</v>
      </c>
      <c r="R82" s="113">
        <f t="shared" si="5"/>
        <v>1</v>
      </c>
      <c r="S82" s="174">
        <f t="shared" si="5"/>
        <v>0.9601360223576676</v>
      </c>
    </row>
    <row r="83" spans="1:19">
      <c r="A83" s="178" t="s">
        <v>79</v>
      </c>
      <c r="F83" s="4"/>
      <c r="G83" s="139"/>
      <c r="H83" s="113">
        <f t="shared" si="6"/>
        <v>0</v>
      </c>
      <c r="I83" s="173">
        <f t="shared" si="6"/>
        <v>0</v>
      </c>
      <c r="J83" s="112">
        <f t="shared" si="5"/>
        <v>0</v>
      </c>
      <c r="K83" s="105">
        <f t="shared" si="5"/>
        <v>0</v>
      </c>
      <c r="L83" s="113">
        <f t="shared" si="5"/>
        <v>0</v>
      </c>
      <c r="M83" s="105">
        <f t="shared" si="5"/>
        <v>0</v>
      </c>
      <c r="N83" s="113">
        <f t="shared" si="5"/>
        <v>0</v>
      </c>
      <c r="O83" s="105">
        <f t="shared" si="5"/>
        <v>0</v>
      </c>
      <c r="P83" s="113">
        <f t="shared" si="5"/>
        <v>0</v>
      </c>
      <c r="Q83" s="105">
        <f t="shared" si="5"/>
        <v>0</v>
      </c>
      <c r="R83" s="113">
        <f t="shared" si="5"/>
        <v>0</v>
      </c>
      <c r="S83" s="174">
        <f t="shared" si="5"/>
        <v>0</v>
      </c>
    </row>
    <row r="84" spans="1:19">
      <c r="A84" s="178" t="s">
        <v>80</v>
      </c>
      <c r="F84" s="4"/>
      <c r="G84" s="139"/>
      <c r="H84" s="113">
        <f t="shared" si="6"/>
        <v>0</v>
      </c>
      <c r="I84" s="173">
        <f t="shared" si="6"/>
        <v>0</v>
      </c>
      <c r="J84" s="112">
        <f t="shared" si="5"/>
        <v>0</v>
      </c>
      <c r="K84" s="105">
        <f t="shared" si="5"/>
        <v>0</v>
      </c>
      <c r="L84" s="113">
        <f t="shared" si="5"/>
        <v>0</v>
      </c>
      <c r="M84" s="105">
        <f t="shared" si="5"/>
        <v>0</v>
      </c>
      <c r="N84" s="113">
        <f t="shared" si="5"/>
        <v>0</v>
      </c>
      <c r="O84" s="105">
        <f t="shared" si="5"/>
        <v>0</v>
      </c>
      <c r="P84" s="113">
        <f t="shared" si="5"/>
        <v>0</v>
      </c>
      <c r="Q84" s="105">
        <f t="shared" si="5"/>
        <v>0</v>
      </c>
      <c r="R84" s="113">
        <f t="shared" si="5"/>
        <v>0</v>
      </c>
      <c r="S84" s="174">
        <f t="shared" si="5"/>
        <v>0</v>
      </c>
    </row>
    <row r="85" spans="1:19">
      <c r="A85" s="178" t="s">
        <v>81</v>
      </c>
      <c r="F85" s="4"/>
      <c r="G85" s="139"/>
      <c r="H85" s="113">
        <f t="shared" si="6"/>
        <v>0</v>
      </c>
      <c r="I85" s="173">
        <f t="shared" si="6"/>
        <v>0</v>
      </c>
      <c r="J85" s="112">
        <f t="shared" si="5"/>
        <v>0</v>
      </c>
      <c r="K85" s="105">
        <f t="shared" si="5"/>
        <v>0</v>
      </c>
      <c r="L85" s="113">
        <f t="shared" si="5"/>
        <v>0</v>
      </c>
      <c r="M85" s="105">
        <f t="shared" si="5"/>
        <v>0</v>
      </c>
      <c r="N85" s="113">
        <f t="shared" si="5"/>
        <v>1</v>
      </c>
      <c r="O85" s="105">
        <f t="shared" si="5"/>
        <v>3.2534096203168046</v>
      </c>
      <c r="P85" s="113">
        <f t="shared" si="5"/>
        <v>1</v>
      </c>
      <c r="Q85" s="105">
        <f t="shared" si="5"/>
        <v>3.2534096203168046</v>
      </c>
      <c r="R85" s="113">
        <f t="shared" si="5"/>
        <v>1</v>
      </c>
      <c r="S85" s="174">
        <f t="shared" si="5"/>
        <v>3.2534096203168046</v>
      </c>
    </row>
    <row r="86" spans="1:19">
      <c r="A86" s="178" t="s">
        <v>82</v>
      </c>
      <c r="F86" s="4"/>
      <c r="G86" s="139"/>
      <c r="H86" s="113">
        <f t="shared" si="6"/>
        <v>0</v>
      </c>
      <c r="I86" s="173">
        <f t="shared" si="6"/>
        <v>0</v>
      </c>
      <c r="J86" s="112">
        <f t="shared" si="5"/>
        <v>0</v>
      </c>
      <c r="K86" s="105">
        <f t="shared" si="5"/>
        <v>0</v>
      </c>
      <c r="L86" s="113">
        <f t="shared" si="5"/>
        <v>0</v>
      </c>
      <c r="M86" s="105">
        <f t="shared" si="5"/>
        <v>0</v>
      </c>
      <c r="N86" s="113">
        <f t="shared" si="5"/>
        <v>0</v>
      </c>
      <c r="O86" s="105">
        <f t="shared" si="5"/>
        <v>0</v>
      </c>
      <c r="P86" s="113">
        <f t="shared" si="5"/>
        <v>2</v>
      </c>
      <c r="Q86" s="105">
        <f t="shared" si="5"/>
        <v>0.46837960476859508</v>
      </c>
      <c r="R86" s="113">
        <f t="shared" si="5"/>
        <v>2</v>
      </c>
      <c r="S86" s="174">
        <f t="shared" si="5"/>
        <v>0.46837960476859508</v>
      </c>
    </row>
    <row r="87" spans="1:19">
      <c r="A87" s="178" t="s">
        <v>83</v>
      </c>
      <c r="F87" s="4"/>
      <c r="G87" s="139"/>
      <c r="H87" s="113">
        <f t="shared" si="6"/>
        <v>0</v>
      </c>
      <c r="I87" s="173">
        <f t="shared" si="6"/>
        <v>0</v>
      </c>
      <c r="J87" s="112">
        <f t="shared" si="5"/>
        <v>0</v>
      </c>
      <c r="K87" s="105">
        <f t="shared" si="5"/>
        <v>0</v>
      </c>
      <c r="L87" s="113">
        <f t="shared" si="5"/>
        <v>0</v>
      </c>
      <c r="M87" s="105">
        <f t="shared" si="5"/>
        <v>0</v>
      </c>
      <c r="N87" s="113">
        <f t="shared" si="5"/>
        <v>0</v>
      </c>
      <c r="O87" s="105">
        <f t="shared" si="5"/>
        <v>0</v>
      </c>
      <c r="P87" s="113">
        <f t="shared" si="5"/>
        <v>0</v>
      </c>
      <c r="Q87" s="105">
        <f t="shared" si="5"/>
        <v>0</v>
      </c>
      <c r="R87" s="113">
        <f t="shared" si="5"/>
        <v>0</v>
      </c>
      <c r="S87" s="174">
        <f t="shared" si="5"/>
        <v>0</v>
      </c>
    </row>
    <row r="88" spans="1:19">
      <c r="A88" s="178" t="s">
        <v>84</v>
      </c>
      <c r="F88" s="4"/>
      <c r="G88" s="139"/>
      <c r="H88" s="113">
        <f t="shared" si="6"/>
        <v>0</v>
      </c>
      <c r="I88" s="173">
        <f t="shared" si="6"/>
        <v>0</v>
      </c>
      <c r="J88" s="112">
        <f t="shared" si="5"/>
        <v>0</v>
      </c>
      <c r="K88" s="105">
        <f t="shared" si="5"/>
        <v>0</v>
      </c>
      <c r="L88" s="113">
        <f t="shared" si="5"/>
        <v>0</v>
      </c>
      <c r="M88" s="105">
        <f t="shared" si="5"/>
        <v>0</v>
      </c>
      <c r="N88" s="113">
        <f t="shared" si="5"/>
        <v>0</v>
      </c>
      <c r="O88" s="105">
        <f t="shared" si="5"/>
        <v>0</v>
      </c>
      <c r="P88" s="113">
        <f t="shared" si="5"/>
        <v>2</v>
      </c>
      <c r="Q88" s="105">
        <f t="shared" si="5"/>
        <v>0.21224368812144168</v>
      </c>
      <c r="R88" s="113">
        <f t="shared" si="5"/>
        <v>5</v>
      </c>
      <c r="S88" s="174">
        <f t="shared" si="5"/>
        <v>5.1546782095959598</v>
      </c>
    </row>
    <row r="89" spans="1:19">
      <c r="A89" s="178" t="s">
        <v>85</v>
      </c>
      <c r="F89" s="4"/>
      <c r="G89" s="139"/>
      <c r="H89" s="113">
        <f t="shared" si="6"/>
        <v>0</v>
      </c>
      <c r="I89" s="173">
        <f t="shared" si="6"/>
        <v>0</v>
      </c>
      <c r="J89" s="112">
        <f t="shared" si="5"/>
        <v>0</v>
      </c>
      <c r="K89" s="105">
        <f t="shared" si="5"/>
        <v>0</v>
      </c>
      <c r="L89" s="113">
        <f t="shared" si="5"/>
        <v>0</v>
      </c>
      <c r="M89" s="105">
        <f t="shared" si="5"/>
        <v>0</v>
      </c>
      <c r="N89" s="113">
        <f t="shared" si="5"/>
        <v>0</v>
      </c>
      <c r="O89" s="105">
        <f t="shared" si="5"/>
        <v>0</v>
      </c>
      <c r="P89" s="113">
        <f t="shared" si="5"/>
        <v>1</v>
      </c>
      <c r="Q89" s="105">
        <f t="shared" si="5"/>
        <v>1.0119935416528925</v>
      </c>
      <c r="R89" s="113">
        <f t="shared" si="5"/>
        <v>2</v>
      </c>
      <c r="S89" s="174">
        <f t="shared" si="5"/>
        <v>1.2202130195778236</v>
      </c>
    </row>
    <row r="90" spans="1:19">
      <c r="A90" s="178" t="s">
        <v>86</v>
      </c>
      <c r="F90" s="4"/>
      <c r="G90" s="139"/>
      <c r="H90" s="113">
        <f t="shared" si="6"/>
        <v>0</v>
      </c>
      <c r="I90" s="173">
        <f t="shared" si="6"/>
        <v>0</v>
      </c>
      <c r="J90" s="112">
        <f t="shared" si="5"/>
        <v>0</v>
      </c>
      <c r="K90" s="105">
        <f t="shared" si="5"/>
        <v>0</v>
      </c>
      <c r="L90" s="113">
        <f t="shared" si="5"/>
        <v>0</v>
      </c>
      <c r="M90" s="105">
        <f t="shared" si="5"/>
        <v>0</v>
      </c>
      <c r="N90" s="113">
        <f t="shared" si="5"/>
        <v>1</v>
      </c>
      <c r="O90" s="105">
        <f t="shared" si="5"/>
        <v>0.45628275676767677</v>
      </c>
      <c r="P90" s="113">
        <f t="shared" si="5"/>
        <v>1</v>
      </c>
      <c r="Q90" s="105">
        <f t="shared" si="5"/>
        <v>0.45628275676767677</v>
      </c>
      <c r="R90" s="113">
        <f t="shared" si="5"/>
        <v>1</v>
      </c>
      <c r="S90" s="174">
        <f t="shared" si="5"/>
        <v>0.45628275676767677</v>
      </c>
    </row>
    <row r="91" spans="1:19">
      <c r="A91" s="178" t="s">
        <v>87</v>
      </c>
      <c r="F91" s="4"/>
      <c r="G91" s="139"/>
      <c r="H91" s="113">
        <f t="shared" si="6"/>
        <v>0</v>
      </c>
      <c r="I91" s="173">
        <f t="shared" si="6"/>
        <v>0</v>
      </c>
      <c r="J91" s="112">
        <f t="shared" si="5"/>
        <v>0</v>
      </c>
      <c r="K91" s="105">
        <f t="shared" si="5"/>
        <v>0</v>
      </c>
      <c r="L91" s="113">
        <f t="shared" si="5"/>
        <v>0</v>
      </c>
      <c r="M91" s="105">
        <f t="shared" si="5"/>
        <v>0</v>
      </c>
      <c r="N91" s="113">
        <f t="shared" si="5"/>
        <v>0</v>
      </c>
      <c r="O91" s="105">
        <f t="shared" si="5"/>
        <v>0</v>
      </c>
      <c r="P91" s="113">
        <f t="shared" si="5"/>
        <v>0</v>
      </c>
      <c r="Q91" s="105">
        <f t="shared" si="5"/>
        <v>0</v>
      </c>
      <c r="R91" s="113">
        <f t="shared" si="5"/>
        <v>0</v>
      </c>
      <c r="S91" s="174">
        <f t="shared" si="5"/>
        <v>0</v>
      </c>
    </row>
    <row r="92" spans="1:19">
      <c r="A92" s="178" t="s">
        <v>88</v>
      </c>
      <c r="F92" s="4"/>
      <c r="G92" s="139"/>
      <c r="H92" s="113">
        <f t="shared" si="6"/>
        <v>0</v>
      </c>
      <c r="I92" s="173">
        <f t="shared" si="6"/>
        <v>0</v>
      </c>
      <c r="J92" s="112">
        <f t="shared" si="5"/>
        <v>0</v>
      </c>
      <c r="K92" s="105">
        <f t="shared" si="5"/>
        <v>0</v>
      </c>
      <c r="L92" s="113">
        <f t="shared" si="5"/>
        <v>0</v>
      </c>
      <c r="M92" s="105">
        <f t="shared" si="5"/>
        <v>0</v>
      </c>
      <c r="N92" s="113">
        <f t="shared" si="5"/>
        <v>1</v>
      </c>
      <c r="O92" s="105">
        <f t="shared" si="5"/>
        <v>0.11684533622245179</v>
      </c>
      <c r="P92" s="113">
        <f t="shared" si="5"/>
        <v>4</v>
      </c>
      <c r="Q92" s="105">
        <f t="shared" si="5"/>
        <v>0.62514319789944894</v>
      </c>
      <c r="R92" s="113">
        <f t="shared" si="5"/>
        <v>7</v>
      </c>
      <c r="S92" s="174">
        <f t="shared" si="5"/>
        <v>7.9115856693755742</v>
      </c>
    </row>
    <row r="93" spans="1:19">
      <c r="A93" s="180" t="s">
        <v>19</v>
      </c>
      <c r="F93" s="4"/>
      <c r="G93" s="139"/>
      <c r="H93" s="116">
        <f>SUM(H78:H92)</f>
        <v>2</v>
      </c>
      <c r="I93" s="181">
        <f t="shared" ref="I93:S93" si="7">SUM(I78:I92)</f>
        <v>0.38748525071969697</v>
      </c>
      <c r="J93" s="116">
        <f t="shared" si="7"/>
        <v>2</v>
      </c>
      <c r="K93" s="115">
        <f t="shared" si="7"/>
        <v>0.38748525071969697</v>
      </c>
      <c r="L93" s="116">
        <f t="shared" si="7"/>
        <v>3</v>
      </c>
      <c r="M93" s="115">
        <f t="shared" si="7"/>
        <v>2.9184889869226351</v>
      </c>
      <c r="N93" s="116">
        <f t="shared" si="7"/>
        <v>10</v>
      </c>
      <c r="O93" s="115">
        <f t="shared" si="7"/>
        <v>10.054327438209366</v>
      </c>
      <c r="P93" s="116">
        <f t="shared" si="7"/>
        <v>24</v>
      </c>
      <c r="Q93" s="115">
        <f t="shared" si="7"/>
        <v>16.922860369694444</v>
      </c>
      <c r="R93" s="116">
        <f t="shared" si="7"/>
        <v>36</v>
      </c>
      <c r="S93" s="182">
        <f t="shared" si="7"/>
        <v>39.248973338491737</v>
      </c>
    </row>
    <row r="94" spans="1:19">
      <c r="A94" s="183"/>
      <c r="F94" s="4"/>
      <c r="G94" s="139"/>
      <c r="I94" s="139"/>
      <c r="J94" s="60"/>
      <c r="O94" s="2"/>
      <c r="S94" s="140"/>
    </row>
    <row r="95" spans="1:19">
      <c r="A95" s="183"/>
      <c r="F95" s="4"/>
      <c r="G95" s="139"/>
      <c r="I95" s="139"/>
      <c r="J95" s="60"/>
      <c r="O95" s="2"/>
      <c r="S95" s="140"/>
    </row>
    <row r="96" spans="1:19">
      <c r="A96" s="183"/>
      <c r="F96" s="4"/>
      <c r="G96" s="139"/>
      <c r="I96" s="139"/>
      <c r="J96" s="60"/>
      <c r="O96" s="2"/>
      <c r="S96" s="140"/>
    </row>
    <row r="97" spans="1:19" s="8" customFormat="1">
      <c r="A97" s="103" t="s">
        <v>6</v>
      </c>
      <c r="G97" s="141"/>
      <c r="I97" s="141"/>
      <c r="J97" s="63"/>
      <c r="K97" s="62"/>
      <c r="M97" s="62"/>
      <c r="O97" s="62"/>
      <c r="Q97" s="62"/>
      <c r="S97" s="142"/>
    </row>
    <row r="98" spans="1:19">
      <c r="F98" s="119" t="s">
        <v>63</v>
      </c>
      <c r="G98" s="184"/>
      <c r="H98" s="119" t="s">
        <v>64</v>
      </c>
      <c r="I98" s="184"/>
      <c r="J98" s="121" t="s">
        <v>65</v>
      </c>
      <c r="K98" s="122"/>
      <c r="L98" s="121" t="s">
        <v>66</v>
      </c>
      <c r="M98" s="122"/>
      <c r="N98" s="119" t="s">
        <v>67</v>
      </c>
      <c r="O98" s="120"/>
      <c r="P98" s="119" t="s">
        <v>68</v>
      </c>
      <c r="Q98" s="120"/>
      <c r="R98" s="119" t="s">
        <v>69</v>
      </c>
      <c r="S98" s="185"/>
    </row>
    <row r="99" spans="1:19">
      <c r="F99" s="136" t="s">
        <v>50</v>
      </c>
      <c r="G99" s="186" t="s">
        <v>51</v>
      </c>
      <c r="H99" s="123" t="s">
        <v>50</v>
      </c>
      <c r="I99" s="186" t="s">
        <v>51</v>
      </c>
      <c r="J99" s="125" t="s">
        <v>50</v>
      </c>
      <c r="K99" s="126" t="s">
        <v>51</v>
      </c>
      <c r="L99" s="125" t="s">
        <v>50</v>
      </c>
      <c r="M99" s="126" t="s">
        <v>51</v>
      </c>
      <c r="N99" s="123" t="s">
        <v>50</v>
      </c>
      <c r="O99" s="124" t="s">
        <v>51</v>
      </c>
      <c r="P99" s="123" t="s">
        <v>50</v>
      </c>
      <c r="Q99" s="124" t="s">
        <v>51</v>
      </c>
      <c r="R99" s="123" t="s">
        <v>50</v>
      </c>
      <c r="S99" s="187" t="s">
        <v>51</v>
      </c>
    </row>
    <row r="100" spans="1:19">
      <c r="A100" s="177" t="s">
        <v>74</v>
      </c>
      <c r="F100" s="136">
        <v>0</v>
      </c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0</v>
      </c>
      <c r="O100" s="128">
        <v>0</v>
      </c>
      <c r="P100" s="128">
        <v>0</v>
      </c>
      <c r="Q100" s="128">
        <v>0</v>
      </c>
      <c r="R100" s="128">
        <f>COUNTIFS('[3]Commercial_shrt fields'!AG:AG, "SLR Adjacent", '[3]Commercial_shrt fields'!V:V, "Auto repair", '[3]Commercial_shrt fields'!AD:AD, 6)</f>
        <v>0</v>
      </c>
      <c r="S100" s="188">
        <f>SUMIFS('[3]Commercial_shrt fields'!AF:AF,'[3]Commercial_shrt fields'!AG:AG,"SLR Adjacent", '[3]Commercial_shrt fields'!V:V, "Auto repair", '[3]Commercial_shrt fields'!AD:AD,6)</f>
        <v>0</v>
      </c>
    </row>
    <row r="101" spans="1:19">
      <c r="A101" s="178" t="s">
        <v>75</v>
      </c>
      <c r="F101" s="136">
        <v>0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f>COUNTIFS('[3]Commercial_shrt fields'!AG:AG, "SLR Adjacent", '[3]Commercial_shrt fields'!V:V, "Boat Harbors", '[3]Commercial_shrt fields'!AD:AD, 6)</f>
        <v>0</v>
      </c>
      <c r="S101" s="188">
        <f>SUMIFS('[3]Commercial_shrt fields'!AF:AF,'[3]Commercial_shrt fields'!AG:AG,"SLR Adjacent", '[3]Commercial_shrt fields'!V:V, "Boat Harbors", '[3]Commercial_shrt fields'!AD:AD,6)</f>
        <v>0</v>
      </c>
    </row>
    <row r="102" spans="1:19">
      <c r="A102" s="178" t="s">
        <v>76</v>
      </c>
      <c r="F102" s="136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28">
        <v>0</v>
      </c>
      <c r="P102" s="128">
        <v>0</v>
      </c>
      <c r="Q102" s="128">
        <v>0</v>
      </c>
      <c r="R102" s="128">
        <f>COUNTIFS('[3]Commercial_shrt fields'!AG:AG, "SLR Adjacent", '[3]Commercial_shrt fields'!V:V, "Commercial stores (not supermarkets)", '[3]Commercial_shrt fields'!AD:AD, 6)</f>
        <v>1</v>
      </c>
      <c r="S102" s="188">
        <f>SUMIFS('[3]Commercial_shrt fields'!AF:AF,'[3]Commercial_shrt fields'!AG:AG,"SLR Adjacent", '[3]Commercial_shrt fields'!V:V, "Commercial stores (not supermarkets)", '[3]Commercial_shrt fields'!AD:AD,6)</f>
        <v>7.9742333410238748</v>
      </c>
    </row>
    <row r="103" spans="1:19">
      <c r="A103" s="178" t="s">
        <v>77</v>
      </c>
      <c r="F103" s="136">
        <v>0</v>
      </c>
      <c r="G103" s="128">
        <v>0</v>
      </c>
      <c r="H103" s="128">
        <v>0</v>
      </c>
      <c r="I103" s="128">
        <v>0</v>
      </c>
      <c r="J103" s="128">
        <v>0</v>
      </c>
      <c r="K103" s="128">
        <v>0</v>
      </c>
      <c r="L103" s="128">
        <v>0</v>
      </c>
      <c r="M103" s="128">
        <v>0</v>
      </c>
      <c r="N103" s="128">
        <v>0</v>
      </c>
      <c r="O103" s="128">
        <v>0</v>
      </c>
      <c r="P103" s="128">
        <v>0</v>
      </c>
      <c r="Q103" s="128">
        <v>0</v>
      </c>
      <c r="R103" s="128">
        <f>COUNTIFS('[3]Commercial_shrt fields'!AG:AG, "SLR Adjacent", '[3]Commercial_shrt fields'!V:V, "Community facilities; recreational; swim pool association", '[3]Commercial_shrt fields'!AD:AD, 6)</f>
        <v>0</v>
      </c>
      <c r="S103" s="188">
        <f>SUMIFS('[3]Commercial_shrt fields'!AF:AF,'[3]Commercial_shrt fields'!AG:AG,"SLR Adjacent", '[3]Commercial_shrt fields'!V:V, "Community facilities; recreational; swim pool association", '[3]Commercial_shrt fields'!AD:AD,6)</f>
        <v>0</v>
      </c>
    </row>
    <row r="104" spans="1:19">
      <c r="A104" s="178" t="s">
        <v>78</v>
      </c>
      <c r="F104" s="136">
        <v>0</v>
      </c>
      <c r="G104" s="128">
        <v>0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28">
        <v>0</v>
      </c>
      <c r="N104" s="128">
        <v>0</v>
      </c>
      <c r="O104" s="128">
        <v>0</v>
      </c>
      <c r="P104" s="128">
        <v>0</v>
      </c>
      <c r="Q104" s="128">
        <v>0</v>
      </c>
      <c r="R104" s="128">
        <f>COUNTIFS('[3]Commercial_shrt fields'!AG:AG, "SLR Adjacent", '[3]Commercial_shrt fields'!V:V, "Auto repair", '[3]Commercial_shrt fields'!AD:AD, 6)</f>
        <v>0</v>
      </c>
      <c r="S104" s="188">
        <f>SUMIFS('[3]Commercial_shrt fields'!AF:AF,'[3]Commercial_shrt fields'!AG:AG,"SLR Adjacent", '[3]Commercial_shrt fields'!V:V, "Drive-in restaurants (hamburger, taco, etc.)", '[3]Commercial_shrt fields'!AD:AD,6)</f>
        <v>0</v>
      </c>
    </row>
    <row r="105" spans="1:19">
      <c r="A105" s="178" t="s">
        <v>79</v>
      </c>
      <c r="F105" s="136">
        <v>0</v>
      </c>
      <c r="G105" s="128">
        <v>0</v>
      </c>
      <c r="H105" s="128">
        <v>0</v>
      </c>
      <c r="I105" s="128">
        <v>0</v>
      </c>
      <c r="J105" s="128">
        <v>0</v>
      </c>
      <c r="K105" s="128">
        <v>0</v>
      </c>
      <c r="L105" s="128">
        <v>0</v>
      </c>
      <c r="M105" s="128">
        <v>0</v>
      </c>
      <c r="N105" s="128">
        <v>0</v>
      </c>
      <c r="O105" s="128">
        <v>0</v>
      </c>
      <c r="P105" s="128">
        <v>0</v>
      </c>
      <c r="Q105" s="128">
        <v>0</v>
      </c>
      <c r="R105" s="128">
        <f>COUNTIFS('[3]Commercial_shrt fields'!AG:AG, "SLR Adjacent", '[3]Commercial_shrt fields'!V:V, "Financial buildings (insurance and title companies, banks, savings and loans", '[3]Commercial_shrt fields'!AD:AD, 6)</f>
        <v>0</v>
      </c>
      <c r="S105" s="188">
        <f>SUMIFS('[3]Commercial_shrt fields'!AF:AF,'[3]Commercial_shrt fields'!AG:AG,"SLR Adjacent", '[3]Commercial_shrt fields'!V:V, "Financial buildings (insurance and title companies, banks, savings and loans", '[3]Commercial_shrt fields'!AD:AD,6)</f>
        <v>0</v>
      </c>
    </row>
    <row r="106" spans="1:19">
      <c r="A106" s="178" t="s">
        <v>80</v>
      </c>
      <c r="F106" s="136">
        <v>0</v>
      </c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  <c r="L106" s="128">
        <v>0</v>
      </c>
      <c r="M106" s="128">
        <v>0</v>
      </c>
      <c r="N106" s="128">
        <v>0</v>
      </c>
      <c r="O106" s="128">
        <v>0</v>
      </c>
      <c r="P106" s="128">
        <v>0</v>
      </c>
      <c r="Q106" s="128">
        <v>0</v>
      </c>
      <c r="R106" s="128">
        <f>COUNTIFS('[3]Commercial_shrt fields'!AG:AG, "SLR Adjacent", '[3]Commercial_shrt fields'!V:V, "Medical; dental", '[3]Commercial_shrt fields'!AD:AD, 6)</f>
        <v>0</v>
      </c>
      <c r="S106" s="188">
        <f>SUMIFS('[3]Commercial_shrt fields'!AF:AF,'[3]Commercial_shrt fields'!AG:AG,"SLR Adjacent", '[3]Commercial_shrt fields'!V:V, "Medical; dental", '[3]Commercial_shrt fields'!AD:AD,6)</f>
        <v>0</v>
      </c>
    </row>
    <row r="107" spans="1:19">
      <c r="A107" s="178" t="s">
        <v>81</v>
      </c>
      <c r="F107" s="136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  <c r="O107" s="128">
        <v>0</v>
      </c>
      <c r="P107" s="128">
        <v>0</v>
      </c>
      <c r="Q107" s="128">
        <v>0</v>
      </c>
      <c r="R107" s="128">
        <f>COUNTIFS('[3]Commercial_shrt fields'!AG:AG, "SLR Adjacent", '[3]Commercial_shrt fields'!V:V, "Motels, hotels, and mobile home parks", '[3]Commercial_shrt fields'!AD:AD, 6)</f>
        <v>1</v>
      </c>
      <c r="S107" s="188">
        <f>SUMIFS('[3]Commercial_shrt fields'!AF:AF,'[3]Commercial_shrt fields'!AG:AG,"SLR Adjacent", '[3]Commercial_shrt fields'!V:V, "Motels, hotels, and mobile home parks", '[3]Commercial_shrt fields'!AD:AD,6)</f>
        <v>0.11358984886065199</v>
      </c>
    </row>
    <row r="108" spans="1:19">
      <c r="A108" s="178" t="s">
        <v>82</v>
      </c>
      <c r="F108" s="136">
        <v>0</v>
      </c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  <c r="O108" s="128">
        <v>0</v>
      </c>
      <c r="P108" s="128">
        <v>0</v>
      </c>
      <c r="Q108" s="128">
        <v>0</v>
      </c>
      <c r="R108" s="128">
        <f>COUNTIFS('[3]Commercial_shrt fields'!AG:AG, "SLR Adjacent", '[3]Commercial_shrt fields'!V:V, "Multiple and commercial; miscellaneously improved", '[3]Commercial_shrt fields'!AD:AD, 6)</f>
        <v>1</v>
      </c>
      <c r="S108" s="188">
        <f>SUMIFS('[3]Commercial_shrt fields'!AF:AF,'[3]Commercial_shrt fields'!AG:AG,"SLR Adjacent", '[3]Commercial_shrt fields'!V:V, "Multiple and commercial; miscellaneously improved", '[3]Commercial_shrt fields'!AD:AD,6)</f>
        <v>12.619922150918274</v>
      </c>
    </row>
    <row r="109" spans="1:19">
      <c r="A109" s="178" t="s">
        <v>83</v>
      </c>
      <c r="F109" s="136">
        <v>0</v>
      </c>
      <c r="G109" s="128">
        <v>0</v>
      </c>
      <c r="H109" s="128">
        <v>0</v>
      </c>
      <c r="I109" s="128">
        <v>0</v>
      </c>
      <c r="J109" s="128">
        <v>0</v>
      </c>
      <c r="K109" s="128">
        <v>0</v>
      </c>
      <c r="L109" s="128">
        <v>0</v>
      </c>
      <c r="M109" s="128">
        <v>0</v>
      </c>
      <c r="N109" s="128">
        <v>0</v>
      </c>
      <c r="O109" s="128">
        <v>0</v>
      </c>
      <c r="P109" s="128">
        <v>0</v>
      </c>
      <c r="Q109" s="128">
        <v>0</v>
      </c>
      <c r="R109" s="128">
        <f>COUNTIFS('[3]Commercial_shrt fields'!AG:AG, "SLR Adjacent", '[3]Commercial_shrt fields'!V:V, "New car auto agencies", '[3]Commercial_shrt fields'!AD:AD, 6)</f>
        <v>0</v>
      </c>
      <c r="S109" s="188">
        <f>SUMIFS('[3]Commercial_shrt fields'!AF:AF,'[3]Commercial_shrt fields'!AG:AG,"SLR Adjacent", '[3]Commercial_shrt fields'!V:V, "New car auto agencies", '[3]Commercial_shrt fields'!AD:AD,6)</f>
        <v>0</v>
      </c>
    </row>
    <row r="110" spans="1:19">
      <c r="A110" s="178" t="s">
        <v>84</v>
      </c>
      <c r="F110" s="136">
        <v>0</v>
      </c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128">
        <v>0</v>
      </c>
      <c r="R110" s="128">
        <f>COUNTIFS('[3]Commercial_shrt fields'!AG:AG, "SLR Adjacent", '[3]Commercial_shrt fields'!V:V, "Office buildings", '[3]Commercial_shrt fields'!AD:AD, 6)</f>
        <v>0</v>
      </c>
      <c r="S110" s="188">
        <f>SUMIFS('[3]Commercial_shrt fields'!AF:AF,'[3]Commercial_shrt fields'!AG:AG,"SLR Adjacent", '[3]Commercial_shrt fields'!V:V, "Office buildings", '[3]Commercial_shrt fields'!AD:AD,6)</f>
        <v>0</v>
      </c>
    </row>
    <row r="111" spans="1:19">
      <c r="A111" s="178" t="s">
        <v>85</v>
      </c>
      <c r="F111" s="136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0</v>
      </c>
      <c r="N111" s="128">
        <v>0</v>
      </c>
      <c r="O111" s="128">
        <v>0</v>
      </c>
      <c r="P111" s="128">
        <v>0</v>
      </c>
      <c r="Q111" s="128">
        <v>0</v>
      </c>
      <c r="R111" s="128">
        <f>COUNTIFS('[3]Commercial_shrt fields'!AG:AG, "SLR Adjacent", '[3]Commercial_shrt fields'!V:V, "Restaurants (not drive-in; inside service only)", '[3]Commercial_shrt fields'!AD:AD, 6)</f>
        <v>0</v>
      </c>
      <c r="S111" s="188">
        <f>SUMIFS('[3]Commercial_shrt fields'!AF:AF,'[3]Commercial_shrt fields'!AG:AG,"SLR Adjacent", '[3]Commercial_shrt fields'!V:V, "Restaurants (not drive-in; inside service only)", '[3]Commercial_shrt fields'!AD:AD,6)</f>
        <v>0</v>
      </c>
    </row>
    <row r="112" spans="1:19">
      <c r="A112" s="178" t="s">
        <v>86</v>
      </c>
      <c r="F112" s="136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f>COUNTIFS('[3]Commercial_shrt fields'!AG:AG, "SLR Adjacent", '[3]Commercial_shrt fields'!V:V, "Service stations; car washes; bulk plants; mini lube", '[3]Commercial_shrt fields'!AD:AD, 6)</f>
        <v>0</v>
      </c>
      <c r="S112" s="188">
        <f>SUMIFS('[3]Commercial_shrt fields'!AF:AF,'[3]Commercial_shrt fields'!AG:AG,"SLR Adjacent", '[3]Commercial_shrt fields'!V:V, "Service stations; car washes; bulk plants; mini lube", '[3]Commercial_shrt fields'!AD:AD,6)</f>
        <v>0</v>
      </c>
    </row>
    <row r="113" spans="1:20">
      <c r="A113" s="178" t="s">
        <v>87</v>
      </c>
      <c r="F113" s="136">
        <v>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28">
        <v>0</v>
      </c>
      <c r="N113" s="128">
        <v>0</v>
      </c>
      <c r="O113" s="128">
        <v>0</v>
      </c>
      <c r="P113" s="128">
        <v>0</v>
      </c>
      <c r="Q113" s="128">
        <v>0</v>
      </c>
      <c r="R113" s="128">
        <f>COUNTIFS('[3]Commercial_shrt fields'!AG:AG, "SLR Adjacent", '[3]Commercial_shrt fields'!V:V, "Shopping centers (all parcels include vacant for future shopping center)", '[3]Commercial_shrt fields'!AD:AD, 6)</f>
        <v>0</v>
      </c>
      <c r="S113" s="188">
        <f>SUMIFS('[3]Commercial_shrt fields'!AF:AF,'[3]Commercial_shrt fields'!AG:AG,"SLR Adjacent", '[3]Commercial_shrt fields'!V:V, "Shopping centers (all parcels include vacant for future shopping center)", '[3]Commercial_shrt fields'!AD:AD,6)</f>
        <v>0</v>
      </c>
    </row>
    <row r="114" spans="1:20">
      <c r="A114" s="178" t="s">
        <v>88</v>
      </c>
      <c r="F114" s="136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28">
        <v>0</v>
      </c>
      <c r="N114" s="128">
        <v>0</v>
      </c>
      <c r="O114" s="128">
        <v>0</v>
      </c>
      <c r="P114" s="128">
        <v>0</v>
      </c>
      <c r="Q114" s="128">
        <v>0</v>
      </c>
      <c r="R114" s="128">
        <f>COUNTIFS('[3]Commercial_shrt fields'!AG:AG, "SLR Adjacent", '[3]Commercial_shrt fields'!V:V, "Vacant", '[3]Commercial_shrt fields'!AD:AD, 6)</f>
        <v>3</v>
      </c>
      <c r="S114" s="189">
        <f>SUMIFS('[3]Commercial_shrt fields'!AF:AF,'[3]Commercial_shrt fields'!AG:AG,"SLR Adjacent", '[3]Commercial_shrt fields'!V:V, "Vacant", '[3]Commercial_shrt fields'!AD:AD,6)</f>
        <v>3.271137478494031</v>
      </c>
    </row>
    <row r="115" spans="1:20">
      <c r="A115" s="180" t="s">
        <v>19</v>
      </c>
      <c r="F115" s="137">
        <f>SUM(F100:F114)</f>
        <v>0</v>
      </c>
      <c r="G115" s="190">
        <f t="shared" ref="G115:S115" si="8">SUM(G100:G114)</f>
        <v>0</v>
      </c>
      <c r="H115" s="134">
        <f t="shared" si="8"/>
        <v>0</v>
      </c>
      <c r="I115" s="190">
        <f t="shared" si="8"/>
        <v>0</v>
      </c>
      <c r="J115" s="134">
        <f t="shared" si="8"/>
        <v>0</v>
      </c>
      <c r="K115" s="135">
        <f t="shared" si="8"/>
        <v>0</v>
      </c>
      <c r="L115" s="134">
        <f t="shared" si="8"/>
        <v>0</v>
      </c>
      <c r="M115" s="135">
        <f t="shared" si="8"/>
        <v>0</v>
      </c>
      <c r="N115" s="134">
        <f t="shared" si="8"/>
        <v>0</v>
      </c>
      <c r="O115" s="135">
        <f t="shared" si="8"/>
        <v>0</v>
      </c>
      <c r="P115" s="134">
        <f t="shared" si="8"/>
        <v>0</v>
      </c>
      <c r="Q115" s="135">
        <f t="shared" si="8"/>
        <v>0</v>
      </c>
      <c r="R115" s="134">
        <f t="shared" si="8"/>
        <v>6</v>
      </c>
      <c r="S115" s="191">
        <f t="shared" si="8"/>
        <v>23.978882819296832</v>
      </c>
    </row>
    <row r="116" spans="1:20" s="46" customFormat="1">
      <c r="A116" s="33"/>
      <c r="F116" s="192"/>
      <c r="G116" s="193"/>
      <c r="H116" s="192"/>
      <c r="I116" s="193"/>
      <c r="J116" s="192"/>
      <c r="K116" s="194"/>
      <c r="L116" s="192"/>
      <c r="M116" s="194"/>
      <c r="N116" s="192"/>
      <c r="O116" s="194"/>
      <c r="P116" s="192"/>
      <c r="Q116" s="194"/>
      <c r="R116" s="192"/>
      <c r="S116" s="195"/>
    </row>
    <row r="117" spans="1:20">
      <c r="F117" s="4"/>
      <c r="G117" s="139"/>
      <c r="I117" s="139"/>
      <c r="J117" s="60"/>
      <c r="O117" s="2"/>
      <c r="S117" s="140"/>
    </row>
    <row r="118" spans="1:20">
      <c r="A118" s="35" t="s">
        <v>20</v>
      </c>
      <c r="F118" s="4"/>
      <c r="G118" s="139"/>
      <c r="I118" s="139"/>
      <c r="J118" s="60"/>
      <c r="O118" s="2"/>
      <c r="S118" s="140"/>
    </row>
    <row r="119" spans="1:20">
      <c r="A119" s="38"/>
      <c r="F119" s="4"/>
      <c r="G119" s="139"/>
      <c r="H119" s="119" t="s">
        <v>64</v>
      </c>
      <c r="I119" s="184"/>
      <c r="J119" s="121" t="s">
        <v>65</v>
      </c>
      <c r="K119" s="122"/>
      <c r="L119" s="121" t="s">
        <v>66</v>
      </c>
      <c r="M119" s="122"/>
      <c r="N119" s="119" t="s">
        <v>67</v>
      </c>
      <c r="O119" s="120"/>
      <c r="P119" s="119" t="s">
        <v>68</v>
      </c>
      <c r="Q119" s="120"/>
      <c r="R119" s="119" t="s">
        <v>69</v>
      </c>
      <c r="S119" s="185"/>
    </row>
    <row r="120" spans="1:20">
      <c r="A120" s="38"/>
      <c r="F120" s="4"/>
      <c r="G120" s="139"/>
      <c r="H120" s="136" t="s">
        <v>50</v>
      </c>
      <c r="I120" s="186" t="s">
        <v>51</v>
      </c>
      <c r="J120" s="125" t="s">
        <v>50</v>
      </c>
      <c r="K120" s="126" t="s">
        <v>51</v>
      </c>
      <c r="L120" s="125" t="s">
        <v>50</v>
      </c>
      <c r="M120" s="126" t="s">
        <v>51</v>
      </c>
      <c r="N120" s="123" t="s">
        <v>50</v>
      </c>
      <c r="O120" s="124" t="s">
        <v>51</v>
      </c>
      <c r="P120" s="123" t="s">
        <v>50</v>
      </c>
      <c r="Q120" s="124" t="s">
        <v>51</v>
      </c>
      <c r="R120" s="123" t="s">
        <v>50</v>
      </c>
      <c r="S120" s="187" t="s">
        <v>51</v>
      </c>
    </row>
    <row r="121" spans="1:20">
      <c r="A121" s="177" t="s">
        <v>74</v>
      </c>
      <c r="F121" s="4"/>
      <c r="G121" s="139"/>
      <c r="H121" s="136">
        <f>H100+F100</f>
        <v>0</v>
      </c>
      <c r="I121" s="196">
        <f>I100+G100</f>
        <v>0</v>
      </c>
      <c r="J121" s="125">
        <f t="shared" ref="J121:S135" si="9">J100+H121</f>
        <v>0</v>
      </c>
      <c r="K121" s="126">
        <f t="shared" si="9"/>
        <v>0</v>
      </c>
      <c r="L121" s="125">
        <f t="shared" si="9"/>
        <v>0</v>
      </c>
      <c r="M121" s="126">
        <f t="shared" si="9"/>
        <v>0</v>
      </c>
      <c r="N121" s="128">
        <f t="shared" si="9"/>
        <v>0</v>
      </c>
      <c r="O121" s="129">
        <f t="shared" si="9"/>
        <v>0</v>
      </c>
      <c r="P121" s="128">
        <f t="shared" si="9"/>
        <v>0</v>
      </c>
      <c r="Q121" s="129">
        <f t="shared" si="9"/>
        <v>0</v>
      </c>
      <c r="R121" s="128">
        <f t="shared" si="9"/>
        <v>0</v>
      </c>
      <c r="S121" s="188">
        <f t="shared" si="9"/>
        <v>0</v>
      </c>
    </row>
    <row r="122" spans="1:20">
      <c r="A122" s="178" t="s">
        <v>75</v>
      </c>
      <c r="F122" s="4"/>
      <c r="G122" s="139"/>
      <c r="H122" s="136">
        <f>H101+F101</f>
        <v>0</v>
      </c>
      <c r="I122" s="196">
        <f t="shared" ref="I122:I135" si="10">I101+G101</f>
        <v>0</v>
      </c>
      <c r="J122" s="125">
        <f t="shared" si="9"/>
        <v>0</v>
      </c>
      <c r="K122" s="126">
        <f t="shared" si="9"/>
        <v>0</v>
      </c>
      <c r="L122" s="125">
        <f t="shared" si="9"/>
        <v>0</v>
      </c>
      <c r="M122" s="126">
        <f t="shared" si="9"/>
        <v>0</v>
      </c>
      <c r="N122" s="128">
        <f t="shared" si="9"/>
        <v>0</v>
      </c>
      <c r="O122" s="129">
        <f t="shared" si="9"/>
        <v>0</v>
      </c>
      <c r="P122" s="128">
        <f t="shared" si="9"/>
        <v>0</v>
      </c>
      <c r="Q122" s="129">
        <f t="shared" si="9"/>
        <v>0</v>
      </c>
      <c r="R122" s="128">
        <f t="shared" si="9"/>
        <v>0</v>
      </c>
      <c r="S122" s="188">
        <f t="shared" si="9"/>
        <v>0</v>
      </c>
    </row>
    <row r="123" spans="1:20">
      <c r="A123" s="178" t="s">
        <v>76</v>
      </c>
      <c r="F123" s="4"/>
      <c r="G123" s="139"/>
      <c r="H123" s="136">
        <f>H102+F102</f>
        <v>0</v>
      </c>
      <c r="I123" s="196">
        <f t="shared" si="10"/>
        <v>0</v>
      </c>
      <c r="J123" s="125">
        <f t="shared" si="9"/>
        <v>0</v>
      </c>
      <c r="K123" s="126">
        <f t="shared" si="9"/>
        <v>0</v>
      </c>
      <c r="L123" s="125">
        <f t="shared" si="9"/>
        <v>0</v>
      </c>
      <c r="M123" s="126">
        <f t="shared" si="9"/>
        <v>0</v>
      </c>
      <c r="N123" s="128">
        <f t="shared" si="9"/>
        <v>0</v>
      </c>
      <c r="O123" s="129">
        <f t="shared" si="9"/>
        <v>0</v>
      </c>
      <c r="P123" s="128">
        <f t="shared" si="9"/>
        <v>0</v>
      </c>
      <c r="Q123" s="129">
        <f t="shared" si="9"/>
        <v>0</v>
      </c>
      <c r="R123" s="128">
        <f t="shared" si="9"/>
        <v>1</v>
      </c>
      <c r="S123" s="188">
        <f t="shared" si="9"/>
        <v>7.9742333410238748</v>
      </c>
    </row>
    <row r="124" spans="1:20">
      <c r="A124" s="178" t="s">
        <v>77</v>
      </c>
      <c r="F124" s="4"/>
      <c r="G124" s="139"/>
      <c r="H124" s="136">
        <f t="shared" ref="H124:H135" si="11">H103+F103</f>
        <v>0</v>
      </c>
      <c r="I124" s="196">
        <f t="shared" si="10"/>
        <v>0</v>
      </c>
      <c r="J124" s="125">
        <f t="shared" si="9"/>
        <v>0</v>
      </c>
      <c r="K124" s="197">
        <f t="shared" si="9"/>
        <v>0</v>
      </c>
      <c r="L124" s="198">
        <f t="shared" si="9"/>
        <v>0</v>
      </c>
      <c r="M124" s="197">
        <f t="shared" si="9"/>
        <v>0</v>
      </c>
      <c r="N124" s="136">
        <f t="shared" si="9"/>
        <v>0</v>
      </c>
      <c r="O124" s="199">
        <f t="shared" si="9"/>
        <v>0</v>
      </c>
      <c r="P124" s="136">
        <f t="shared" si="9"/>
        <v>0</v>
      </c>
      <c r="Q124" s="199">
        <f t="shared" si="9"/>
        <v>0</v>
      </c>
      <c r="R124" s="136">
        <f t="shared" si="9"/>
        <v>0</v>
      </c>
      <c r="S124" s="200">
        <f t="shared" si="9"/>
        <v>0</v>
      </c>
    </row>
    <row r="125" spans="1:20">
      <c r="A125" s="178" t="s">
        <v>78</v>
      </c>
      <c r="F125" s="4"/>
      <c r="G125" s="139"/>
      <c r="H125" s="136">
        <f t="shared" si="11"/>
        <v>0</v>
      </c>
      <c r="I125" s="196">
        <f t="shared" si="10"/>
        <v>0</v>
      </c>
      <c r="J125" s="125">
        <f t="shared" si="9"/>
        <v>0</v>
      </c>
      <c r="K125" s="197">
        <f t="shared" si="9"/>
        <v>0</v>
      </c>
      <c r="L125" s="198">
        <f t="shared" si="9"/>
        <v>0</v>
      </c>
      <c r="M125" s="197">
        <f t="shared" si="9"/>
        <v>0</v>
      </c>
      <c r="N125" s="136">
        <f t="shared" si="9"/>
        <v>0</v>
      </c>
      <c r="O125" s="199">
        <f t="shared" si="9"/>
        <v>0</v>
      </c>
      <c r="P125" s="136">
        <f t="shared" si="9"/>
        <v>0</v>
      </c>
      <c r="Q125" s="199">
        <f t="shared" si="9"/>
        <v>0</v>
      </c>
      <c r="R125" s="136">
        <f t="shared" si="9"/>
        <v>0</v>
      </c>
      <c r="S125" s="200">
        <f t="shared" si="9"/>
        <v>0</v>
      </c>
    </row>
    <row r="126" spans="1:20">
      <c r="A126" s="178" t="s">
        <v>79</v>
      </c>
      <c r="F126" s="4"/>
      <c r="G126" s="139"/>
      <c r="H126" s="136">
        <f t="shared" si="11"/>
        <v>0</v>
      </c>
      <c r="I126" s="196">
        <f t="shared" si="10"/>
        <v>0</v>
      </c>
      <c r="J126" s="125">
        <f t="shared" si="9"/>
        <v>0</v>
      </c>
      <c r="K126" s="197">
        <f t="shared" si="9"/>
        <v>0</v>
      </c>
      <c r="L126" s="198">
        <f t="shared" si="9"/>
        <v>0</v>
      </c>
      <c r="M126" s="197">
        <f t="shared" si="9"/>
        <v>0</v>
      </c>
      <c r="N126" s="136">
        <f t="shared" si="9"/>
        <v>0</v>
      </c>
      <c r="O126" s="199">
        <f t="shared" si="9"/>
        <v>0</v>
      </c>
      <c r="P126" s="136">
        <f t="shared" si="9"/>
        <v>0</v>
      </c>
      <c r="Q126" s="199">
        <f t="shared" si="9"/>
        <v>0</v>
      </c>
      <c r="R126" s="136">
        <f t="shared" si="9"/>
        <v>0</v>
      </c>
      <c r="S126" s="200">
        <f t="shared" si="9"/>
        <v>0</v>
      </c>
    </row>
    <row r="127" spans="1:20">
      <c r="A127" s="178" t="s">
        <v>80</v>
      </c>
      <c r="F127" s="4"/>
      <c r="G127" s="139"/>
      <c r="H127" s="136">
        <f t="shared" si="11"/>
        <v>0</v>
      </c>
      <c r="I127" s="196">
        <f t="shared" si="10"/>
        <v>0</v>
      </c>
      <c r="J127" s="125">
        <f t="shared" si="9"/>
        <v>0</v>
      </c>
      <c r="K127" s="197">
        <f t="shared" si="9"/>
        <v>0</v>
      </c>
      <c r="L127" s="198">
        <f t="shared" si="9"/>
        <v>0</v>
      </c>
      <c r="M127" s="197">
        <f t="shared" si="9"/>
        <v>0</v>
      </c>
      <c r="N127" s="136">
        <f t="shared" si="9"/>
        <v>0</v>
      </c>
      <c r="O127" s="199">
        <f t="shared" si="9"/>
        <v>0</v>
      </c>
      <c r="P127" s="136">
        <f t="shared" si="9"/>
        <v>0</v>
      </c>
      <c r="Q127" s="199">
        <f t="shared" si="9"/>
        <v>0</v>
      </c>
      <c r="R127" s="136">
        <f t="shared" si="9"/>
        <v>0</v>
      </c>
      <c r="S127" s="200">
        <f t="shared" si="9"/>
        <v>0</v>
      </c>
    </row>
    <row r="128" spans="1:20">
      <c r="A128" s="178" t="s">
        <v>81</v>
      </c>
      <c r="F128" s="4"/>
      <c r="G128" s="139"/>
      <c r="H128" s="136">
        <f t="shared" si="11"/>
        <v>0</v>
      </c>
      <c r="I128" s="196">
        <f t="shared" si="10"/>
        <v>0</v>
      </c>
      <c r="J128" s="125">
        <f t="shared" si="9"/>
        <v>0</v>
      </c>
      <c r="K128" s="197">
        <f t="shared" si="9"/>
        <v>0</v>
      </c>
      <c r="L128" s="198">
        <f t="shared" si="9"/>
        <v>0</v>
      </c>
      <c r="M128" s="197">
        <f t="shared" si="9"/>
        <v>0</v>
      </c>
      <c r="N128" s="136">
        <f t="shared" si="9"/>
        <v>0</v>
      </c>
      <c r="O128" s="199">
        <f t="shared" si="9"/>
        <v>0</v>
      </c>
      <c r="P128" s="136">
        <f t="shared" si="9"/>
        <v>0</v>
      </c>
      <c r="Q128" s="199">
        <f t="shared" si="9"/>
        <v>0</v>
      </c>
      <c r="R128" s="136">
        <f t="shared" si="9"/>
        <v>1</v>
      </c>
      <c r="S128" s="200">
        <f t="shared" si="9"/>
        <v>0.11358984886065199</v>
      </c>
      <c r="T128" s="4" t="s">
        <v>89</v>
      </c>
    </row>
    <row r="129" spans="1:19">
      <c r="A129" s="178" t="s">
        <v>82</v>
      </c>
      <c r="F129" s="4"/>
      <c r="G129" s="139"/>
      <c r="H129" s="136">
        <f t="shared" si="11"/>
        <v>0</v>
      </c>
      <c r="I129" s="196">
        <f t="shared" si="10"/>
        <v>0</v>
      </c>
      <c r="J129" s="125">
        <f t="shared" si="9"/>
        <v>0</v>
      </c>
      <c r="K129" s="197">
        <f t="shared" si="9"/>
        <v>0</v>
      </c>
      <c r="L129" s="198">
        <f t="shared" si="9"/>
        <v>0</v>
      </c>
      <c r="M129" s="197">
        <f t="shared" si="9"/>
        <v>0</v>
      </c>
      <c r="N129" s="136">
        <f t="shared" si="9"/>
        <v>0</v>
      </c>
      <c r="O129" s="199">
        <f t="shared" si="9"/>
        <v>0</v>
      </c>
      <c r="P129" s="136">
        <f t="shared" si="9"/>
        <v>0</v>
      </c>
      <c r="Q129" s="199">
        <f t="shared" si="9"/>
        <v>0</v>
      </c>
      <c r="R129" s="136">
        <f t="shared" si="9"/>
        <v>1</v>
      </c>
      <c r="S129" s="200">
        <f t="shared" si="9"/>
        <v>12.619922150918274</v>
      </c>
    </row>
    <row r="130" spans="1:19">
      <c r="A130" s="178" t="s">
        <v>83</v>
      </c>
      <c r="F130" s="4"/>
      <c r="G130" s="139"/>
      <c r="H130" s="136">
        <f t="shared" si="11"/>
        <v>0</v>
      </c>
      <c r="I130" s="196">
        <f t="shared" si="10"/>
        <v>0</v>
      </c>
      <c r="J130" s="125">
        <f t="shared" si="9"/>
        <v>0</v>
      </c>
      <c r="K130" s="197">
        <f t="shared" si="9"/>
        <v>0</v>
      </c>
      <c r="L130" s="198">
        <f t="shared" si="9"/>
        <v>0</v>
      </c>
      <c r="M130" s="197">
        <f t="shared" si="9"/>
        <v>0</v>
      </c>
      <c r="N130" s="136">
        <f t="shared" si="9"/>
        <v>0</v>
      </c>
      <c r="O130" s="199">
        <f t="shared" si="9"/>
        <v>0</v>
      </c>
      <c r="P130" s="136">
        <f t="shared" si="9"/>
        <v>0</v>
      </c>
      <c r="Q130" s="199">
        <f t="shared" si="9"/>
        <v>0</v>
      </c>
      <c r="R130" s="136">
        <f t="shared" si="9"/>
        <v>0</v>
      </c>
      <c r="S130" s="200">
        <f t="shared" si="9"/>
        <v>0</v>
      </c>
    </row>
    <row r="131" spans="1:19">
      <c r="A131" s="178" t="s">
        <v>84</v>
      </c>
      <c r="F131" s="4"/>
      <c r="G131" s="139"/>
      <c r="H131" s="136">
        <f t="shared" si="11"/>
        <v>0</v>
      </c>
      <c r="I131" s="196">
        <f t="shared" si="10"/>
        <v>0</v>
      </c>
      <c r="J131" s="125">
        <f t="shared" si="9"/>
        <v>0</v>
      </c>
      <c r="K131" s="197">
        <f t="shared" si="9"/>
        <v>0</v>
      </c>
      <c r="L131" s="198">
        <f t="shared" si="9"/>
        <v>0</v>
      </c>
      <c r="M131" s="197">
        <f t="shared" si="9"/>
        <v>0</v>
      </c>
      <c r="N131" s="136">
        <f t="shared" si="9"/>
        <v>0</v>
      </c>
      <c r="O131" s="199">
        <f t="shared" si="9"/>
        <v>0</v>
      </c>
      <c r="P131" s="136">
        <f t="shared" si="9"/>
        <v>0</v>
      </c>
      <c r="Q131" s="199">
        <f t="shared" si="9"/>
        <v>0</v>
      </c>
      <c r="R131" s="136">
        <f t="shared" si="9"/>
        <v>0</v>
      </c>
      <c r="S131" s="200">
        <f t="shared" si="9"/>
        <v>0</v>
      </c>
    </row>
    <row r="132" spans="1:19">
      <c r="A132" s="178" t="s">
        <v>85</v>
      </c>
      <c r="F132" s="4"/>
      <c r="G132" s="139"/>
      <c r="H132" s="136">
        <f t="shared" si="11"/>
        <v>0</v>
      </c>
      <c r="I132" s="196">
        <f t="shared" si="10"/>
        <v>0</v>
      </c>
      <c r="J132" s="125">
        <f t="shared" si="9"/>
        <v>0</v>
      </c>
      <c r="K132" s="197">
        <f t="shared" si="9"/>
        <v>0</v>
      </c>
      <c r="L132" s="198">
        <f t="shared" si="9"/>
        <v>0</v>
      </c>
      <c r="M132" s="197">
        <f t="shared" si="9"/>
        <v>0</v>
      </c>
      <c r="N132" s="136">
        <f t="shared" si="9"/>
        <v>0</v>
      </c>
      <c r="O132" s="199">
        <f t="shared" si="9"/>
        <v>0</v>
      </c>
      <c r="P132" s="136">
        <f t="shared" si="9"/>
        <v>0</v>
      </c>
      <c r="Q132" s="199">
        <f t="shared" si="9"/>
        <v>0</v>
      </c>
      <c r="R132" s="136">
        <f t="shared" si="9"/>
        <v>0</v>
      </c>
      <c r="S132" s="200">
        <f t="shared" si="9"/>
        <v>0</v>
      </c>
    </row>
    <row r="133" spans="1:19">
      <c r="A133" s="178" t="s">
        <v>86</v>
      </c>
      <c r="F133" s="4"/>
      <c r="G133" s="139"/>
      <c r="H133" s="136">
        <f t="shared" si="11"/>
        <v>0</v>
      </c>
      <c r="I133" s="196">
        <f t="shared" si="10"/>
        <v>0</v>
      </c>
      <c r="J133" s="125">
        <f t="shared" si="9"/>
        <v>0</v>
      </c>
      <c r="K133" s="197">
        <f t="shared" si="9"/>
        <v>0</v>
      </c>
      <c r="L133" s="198">
        <f t="shared" si="9"/>
        <v>0</v>
      </c>
      <c r="M133" s="197">
        <f t="shared" si="9"/>
        <v>0</v>
      </c>
      <c r="N133" s="136">
        <f t="shared" si="9"/>
        <v>0</v>
      </c>
      <c r="O133" s="199">
        <f t="shared" si="9"/>
        <v>0</v>
      </c>
      <c r="P133" s="136">
        <f t="shared" si="9"/>
        <v>0</v>
      </c>
      <c r="Q133" s="199">
        <f t="shared" si="9"/>
        <v>0</v>
      </c>
      <c r="R133" s="136">
        <f t="shared" si="9"/>
        <v>0</v>
      </c>
      <c r="S133" s="200">
        <f t="shared" si="9"/>
        <v>0</v>
      </c>
    </row>
    <row r="134" spans="1:19">
      <c r="A134" s="178" t="s">
        <v>87</v>
      </c>
      <c r="F134" s="4"/>
      <c r="G134" s="139"/>
      <c r="H134" s="136">
        <f t="shared" si="11"/>
        <v>0</v>
      </c>
      <c r="I134" s="196">
        <f t="shared" si="10"/>
        <v>0</v>
      </c>
      <c r="J134" s="125">
        <f t="shared" si="9"/>
        <v>0</v>
      </c>
      <c r="K134" s="197">
        <f t="shared" si="9"/>
        <v>0</v>
      </c>
      <c r="L134" s="198">
        <f t="shared" si="9"/>
        <v>0</v>
      </c>
      <c r="M134" s="197">
        <f t="shared" si="9"/>
        <v>0</v>
      </c>
      <c r="N134" s="136">
        <f t="shared" si="9"/>
        <v>0</v>
      </c>
      <c r="O134" s="199">
        <f t="shared" si="9"/>
        <v>0</v>
      </c>
      <c r="P134" s="136">
        <f t="shared" si="9"/>
        <v>0</v>
      </c>
      <c r="Q134" s="199">
        <f t="shared" si="9"/>
        <v>0</v>
      </c>
      <c r="R134" s="136">
        <f t="shared" si="9"/>
        <v>0</v>
      </c>
      <c r="S134" s="200">
        <f t="shared" si="9"/>
        <v>0</v>
      </c>
    </row>
    <row r="135" spans="1:19">
      <c r="A135" s="178" t="s">
        <v>88</v>
      </c>
      <c r="F135" s="4"/>
      <c r="G135" s="139"/>
      <c r="H135" s="136">
        <f t="shared" si="11"/>
        <v>0</v>
      </c>
      <c r="I135" s="196">
        <f t="shared" si="10"/>
        <v>0</v>
      </c>
      <c r="J135" s="125">
        <f t="shared" si="9"/>
        <v>0</v>
      </c>
      <c r="K135" s="197">
        <f t="shared" si="9"/>
        <v>0</v>
      </c>
      <c r="L135" s="198">
        <f t="shared" si="9"/>
        <v>0</v>
      </c>
      <c r="M135" s="197">
        <f t="shared" si="9"/>
        <v>0</v>
      </c>
      <c r="N135" s="136">
        <f t="shared" si="9"/>
        <v>0</v>
      </c>
      <c r="O135" s="199">
        <f t="shared" si="9"/>
        <v>0</v>
      </c>
      <c r="P135" s="136">
        <f t="shared" si="9"/>
        <v>0</v>
      </c>
      <c r="Q135" s="199">
        <f t="shared" si="9"/>
        <v>0</v>
      </c>
      <c r="R135" s="136">
        <f t="shared" si="9"/>
        <v>3</v>
      </c>
      <c r="S135" s="200">
        <f t="shared" si="9"/>
        <v>3.271137478494031</v>
      </c>
    </row>
    <row r="136" spans="1:19">
      <c r="A136" s="180" t="s">
        <v>19</v>
      </c>
      <c r="F136" s="4"/>
      <c r="G136" s="139"/>
      <c r="H136" s="137">
        <f t="shared" ref="H136:Q136" si="12">SUM(H121:H124)</f>
        <v>0</v>
      </c>
      <c r="I136" s="201">
        <f t="shared" si="12"/>
        <v>0</v>
      </c>
      <c r="J136" s="137">
        <f t="shared" si="12"/>
        <v>0</v>
      </c>
      <c r="K136" s="138">
        <f t="shared" si="12"/>
        <v>0</v>
      </c>
      <c r="L136" s="137">
        <f t="shared" si="12"/>
        <v>0</v>
      </c>
      <c r="M136" s="138">
        <f t="shared" si="12"/>
        <v>0</v>
      </c>
      <c r="N136" s="137">
        <f t="shared" si="12"/>
        <v>0</v>
      </c>
      <c r="O136" s="138">
        <f t="shared" si="12"/>
        <v>0</v>
      </c>
      <c r="P136" s="137">
        <f t="shared" si="12"/>
        <v>0</v>
      </c>
      <c r="Q136" s="138">
        <f t="shared" si="12"/>
        <v>0</v>
      </c>
      <c r="R136" s="137">
        <f>SUM(R121:R135)</f>
        <v>6</v>
      </c>
      <c r="S136" s="202">
        <f>SUM(S121:S135)</f>
        <v>23.978882819296832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Single Family Summary</vt:lpstr>
      <vt:lpstr>MultiRes Summary</vt:lpstr>
      <vt:lpstr>MultiReslNoNull - short fields</vt:lpstr>
      <vt:lpstr>MultiReslNoNull - all fields</vt:lpstr>
      <vt:lpstr>Sheet1 (2)</vt:lpstr>
      <vt:lpstr>Industrial Summary</vt:lpstr>
      <vt:lpstr>Hazardous Parcels</vt:lpstr>
      <vt:lpstr>People Summary Tables</vt:lpstr>
      <vt:lpstr>Commercial Summary</vt:lpstr>
      <vt:lpstr>Brownfield Summary</vt:lpstr>
      <vt:lpstr>Bay Trail Summary EF</vt:lpstr>
      <vt:lpstr>Rail Summary EF</vt:lpstr>
      <vt:lpstr>Pipelines Summary EF</vt:lpstr>
      <vt:lpstr>Sheet1</vt:lpstr>
    </vt:vector>
  </TitlesOfParts>
  <Company>BCDC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Fullerton</dc:creator>
  <cp:lastModifiedBy>Adam Fullerton</cp:lastModifiedBy>
  <dcterms:created xsi:type="dcterms:W3CDTF">2016-12-14T21:05:23Z</dcterms:created>
  <dcterms:modified xsi:type="dcterms:W3CDTF">2016-12-14T21:36:52Z</dcterms:modified>
</cp:coreProperties>
</file>